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traathof\Desktop\Default\Publications 3\Inhibition\"/>
    </mc:Choice>
  </mc:AlternateContent>
  <bookViews>
    <workbookView xWindow="0" yWindow="0" windowWidth="22068" windowHeight="9780" firstSheet="5" activeTab="12"/>
  </bookViews>
  <sheets>
    <sheet name="Table of contents" sheetId="15" r:id="rId1"/>
    <sheet name="Aiba 1968" sheetId="8" r:id="rId2"/>
    <sheet name="Bazua 1975" sheetId="9" r:id="rId3"/>
    <sheet name="Fieschko 1983" sheetId="1" r:id="rId4"/>
    <sheet name="Ghose 1979" sheetId="12" r:id="rId5"/>
    <sheet name="Groot 1992" sheetId="2" r:id="rId6"/>
    <sheet name="Jobses 1986" sheetId="11" r:id="rId7"/>
    <sheet name="Lee 1980" sheetId="7" r:id="rId8"/>
    <sheet name="Schmidt 1987" sheetId="10" r:id="rId9"/>
    <sheet name="Figure 1" sheetId="3" r:id="rId10"/>
    <sheet name="Figure 2" sheetId="4" r:id="rId11"/>
    <sheet name="Figure 3" sheetId="6" r:id="rId12"/>
    <sheet name="Figure 4" sheetId="5" r:id="rId13"/>
  </sheets>
  <definedNames>
    <definedName name="c_x0">'Figure 3'!$I$18</definedName>
    <definedName name="cx0">'Figure 3'!$J$18</definedName>
    <definedName name="Ks">'Figure 3'!$E$18</definedName>
    <definedName name="mumax0">'Figure 3'!$B$14</definedName>
    <definedName name="qpmax0">'Figure 3'!$C$14</definedName>
    <definedName name="qsmax0">'Figure 3'!$D$14</definedName>
    <definedName name="solver_adj" localSheetId="11" hidden="1">'Figure 3'!$AF$25</definedName>
    <definedName name="solver_adj" localSheetId="12" hidden="1">'Figure 4'!$T$74</definedName>
    <definedName name="solver_cvg" localSheetId="11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cvg" localSheetId="12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11" hidden="1">2</definedName>
    <definedName name="solver_drv" localSheetId="12" hidden="1">1</definedName>
    <definedName name="solver_eng" localSheetId="1" hidden="1">1</definedName>
    <definedName name="solver_eng" localSheetId="11" hidden="1">1</definedName>
    <definedName name="solver_eng" localSheetId="12" hidden="1">1</definedName>
    <definedName name="solver_eng" localSheetId="4" hidden="1">1</definedName>
    <definedName name="solver_eng" localSheetId="5" hidden="1">1</definedName>
    <definedName name="solver_est" localSheetId="11" hidden="1">1</definedName>
    <definedName name="solver_est" localSheetId="12" hidden="1">1</definedName>
    <definedName name="solver_itr" localSheetId="11" hidden="1">2147483647</definedName>
    <definedName name="solver_itr" localSheetId="12" hidden="1">2147483647</definedName>
    <definedName name="solver_mip" localSheetId="11" hidden="1">2147483647</definedName>
    <definedName name="solver_mip" localSheetId="12" hidden="1">2147483647</definedName>
    <definedName name="solver_mni" localSheetId="11" hidden="1">30</definedName>
    <definedName name="solver_mni" localSheetId="12" hidden="1">30</definedName>
    <definedName name="solver_mrt" localSheetId="11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rt" localSheetId="12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11" hidden="1">2</definedName>
    <definedName name="solver_msl" localSheetId="12" hidden="1">2</definedName>
    <definedName name="solver_neg" localSheetId="1" hidden="1">1</definedName>
    <definedName name="solver_neg" localSheetId="11" hidden="1">1</definedName>
    <definedName name="solver_neg" localSheetId="12" hidden="1">1</definedName>
    <definedName name="solver_neg" localSheetId="4" hidden="1">1</definedName>
    <definedName name="solver_neg" localSheetId="5" hidden="1">1</definedName>
    <definedName name="solver_nod" localSheetId="11" hidden="1">2147483647</definedName>
    <definedName name="solver_nod" localSheetId="12" hidden="1">2147483647</definedName>
    <definedName name="solver_num" localSheetId="1" hidden="1">0</definedName>
    <definedName name="solver_num" localSheetId="11" hidden="1">0</definedName>
    <definedName name="solver_num" localSheetId="12" hidden="1">0</definedName>
    <definedName name="solver_num" localSheetId="4" hidden="1">0</definedName>
    <definedName name="solver_num" localSheetId="5" hidden="1">0</definedName>
    <definedName name="solver_nwt" localSheetId="11" hidden="1">1</definedName>
    <definedName name="solver_nwt" localSheetId="12" hidden="1">1</definedName>
    <definedName name="solver_opt" localSheetId="1" hidden="1">'Aiba 1968'!$A$29</definedName>
    <definedName name="solver_opt" localSheetId="11" hidden="1">'Figure 3'!$AG$25</definedName>
    <definedName name="solver_opt" localSheetId="12" hidden="1">'Figure 4'!$U$74</definedName>
    <definedName name="solver_opt" localSheetId="4" hidden="1">'Ghose 1979'!$U$112</definedName>
    <definedName name="solver_opt" localSheetId="5" hidden="1">'Groot 1992'!$A$26</definedName>
    <definedName name="solver_pre" localSheetId="11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pre" localSheetId="12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rbv" localSheetId="11" hidden="1">2</definedName>
    <definedName name="solver_rbv" localSheetId="12" hidden="1">1</definedName>
    <definedName name="solver_rlx" localSheetId="11" hidden="1">2</definedName>
    <definedName name="solver_rlx" localSheetId="12" hidden="1">2</definedName>
    <definedName name="solver_rsd" localSheetId="11" hidden="1">0</definedName>
    <definedName name="solver_rsd" localSheetId="12" hidden="1">0</definedName>
    <definedName name="solver_scl" localSheetId="11" hidden="1">2</definedName>
    <definedName name="solver_scl" localSheetId="12" hidden="1">1</definedName>
    <definedName name="solver_sho" localSheetId="11" hidden="1">2</definedName>
    <definedName name="solver_sho" localSheetId="12" hidden="1">2</definedName>
    <definedName name="solver_ssz" localSheetId="11" hidden="1">100</definedName>
    <definedName name="solver_ssz" localSheetId="12" hidden="1">100</definedName>
    <definedName name="solver_tim" localSheetId="11" hidden="1">2147483647</definedName>
    <definedName name="solver_tim" localSheetId="12" hidden="1">2147483647</definedName>
    <definedName name="solver_tol" localSheetId="11" hidden="1">1</definedName>
    <definedName name="solver_tol" localSheetId="12" hidden="1">1</definedName>
    <definedName name="solver_typ" localSheetId="1" hidden="1">1</definedName>
    <definedName name="solver_typ" localSheetId="11" hidden="1">3</definedName>
    <definedName name="solver_typ" localSheetId="12" hidden="1">3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11" hidden="1">0</definedName>
    <definedName name="solver_val" localSheetId="12" hidden="1">0</definedName>
    <definedName name="solver_val" localSheetId="4" hidden="1">0</definedName>
    <definedName name="solver_val" localSheetId="5" hidden="1">0</definedName>
    <definedName name="solver_ver" localSheetId="1" hidden="1">3</definedName>
    <definedName name="solver_ver" localSheetId="11" hidden="1">3</definedName>
    <definedName name="solver_ver" localSheetId="12" hidden="1">3</definedName>
    <definedName name="solver_ver" localSheetId="4" hidden="1">3</definedName>
    <definedName name="solver_ver" localSheetId="5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1" i="4" l="1"/>
  <c r="H179" i="4"/>
  <c r="B18" i="6" l="1"/>
  <c r="U90" i="5"/>
  <c r="U89" i="5"/>
  <c r="U88" i="5"/>
  <c r="U87" i="5"/>
  <c r="U86" i="5"/>
  <c r="U85" i="5"/>
  <c r="U84" i="5"/>
  <c r="U83" i="5"/>
  <c r="U82" i="5"/>
  <c r="S90" i="5"/>
  <c r="S89" i="5"/>
  <c r="S88" i="5"/>
  <c r="S87" i="5"/>
  <c r="S86" i="5"/>
  <c r="S85" i="5"/>
  <c r="S84" i="5"/>
  <c r="S83" i="5"/>
  <c r="S82" i="5"/>
  <c r="B20" i="5" l="1"/>
  <c r="Q90" i="5"/>
  <c r="Q89" i="5"/>
  <c r="Q88" i="5"/>
  <c r="Q87" i="5"/>
  <c r="Q86" i="5"/>
  <c r="Q85" i="5"/>
  <c r="Q84" i="5"/>
  <c r="Q83" i="5"/>
  <c r="Q82" i="5"/>
  <c r="K74" i="5" l="1"/>
  <c r="J74" i="5"/>
  <c r="K73" i="5"/>
  <c r="J73" i="5"/>
  <c r="K72" i="5"/>
  <c r="J72" i="5"/>
  <c r="K71" i="5"/>
  <c r="J71" i="5"/>
  <c r="K70" i="5"/>
  <c r="J70" i="5"/>
  <c r="K69" i="5"/>
  <c r="J69" i="5"/>
  <c r="K68" i="5"/>
  <c r="J68" i="5"/>
  <c r="I68" i="5"/>
  <c r="I69" i="5" s="1"/>
  <c r="I70" i="5" s="1"/>
  <c r="I71" i="5" s="1"/>
  <c r="I72" i="5" s="1"/>
  <c r="I42" i="5"/>
  <c r="I43" i="5" s="1"/>
  <c r="I44" i="5" s="1"/>
  <c r="I45" i="5" s="1"/>
  <c r="I46" i="5" s="1"/>
  <c r="I47" i="5" s="1"/>
  <c r="I48" i="5" s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I59" i="5" s="1"/>
  <c r="I60" i="5" s="1"/>
  <c r="I61" i="5" s="1"/>
  <c r="I62" i="5" s="1"/>
  <c r="I63" i="5" s="1"/>
  <c r="I64" i="5" s="1"/>
  <c r="I65" i="5" s="1"/>
  <c r="I66" i="5" s="1"/>
  <c r="I67" i="5" s="1"/>
  <c r="B75" i="5"/>
  <c r="F75" i="5" s="1"/>
  <c r="B74" i="5"/>
  <c r="B73" i="5"/>
  <c r="B72" i="5"/>
  <c r="B71" i="5"/>
  <c r="B70" i="5"/>
  <c r="B69" i="5"/>
  <c r="F69" i="5" s="1"/>
  <c r="B68" i="5"/>
  <c r="F67" i="5"/>
  <c r="B67" i="5"/>
  <c r="B66" i="5"/>
  <c r="B65" i="5"/>
  <c r="F65" i="5" s="1"/>
  <c r="B64" i="5"/>
  <c r="B63" i="5"/>
  <c r="B62" i="5"/>
  <c r="A56" i="5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L72" i="5" l="1"/>
  <c r="R72" i="5" s="1"/>
  <c r="L74" i="5"/>
  <c r="R74" i="5" s="1"/>
  <c r="L70" i="5"/>
  <c r="R70" i="5" s="1"/>
  <c r="L68" i="5"/>
  <c r="R68" i="5" s="1"/>
  <c r="L71" i="5"/>
  <c r="R71" i="5" s="1"/>
  <c r="L73" i="5"/>
  <c r="R73" i="5" s="1"/>
  <c r="L69" i="5"/>
  <c r="R69" i="5" s="1"/>
  <c r="F63" i="5"/>
  <c r="F71" i="5"/>
  <c r="F73" i="5"/>
  <c r="F62" i="5"/>
  <c r="F64" i="5"/>
  <c r="F66" i="5"/>
  <c r="F68" i="5"/>
  <c r="F70" i="5"/>
  <c r="F72" i="5"/>
  <c r="F74" i="5"/>
  <c r="B61" i="5"/>
  <c r="F61" i="5"/>
  <c r="F4" i="5" l="1"/>
  <c r="F6" i="5"/>
  <c r="F7" i="5"/>
  <c r="B14" i="5"/>
  <c r="D13" i="5"/>
  <c r="B12" i="5"/>
  <c r="B11" i="5"/>
  <c r="F8" i="5"/>
  <c r="M74" i="5" l="1"/>
  <c r="N74" i="5" s="1"/>
  <c r="O74" i="5" s="1"/>
  <c r="P74" i="5" s="1"/>
  <c r="Q74" i="5" s="1"/>
  <c r="S74" i="5" s="1"/>
  <c r="U74" i="5" s="1"/>
  <c r="M70" i="5"/>
  <c r="N70" i="5" s="1"/>
  <c r="O70" i="5" s="1"/>
  <c r="P70" i="5" s="1"/>
  <c r="Q70" i="5" s="1"/>
  <c r="S70" i="5" s="1"/>
  <c r="U70" i="5" s="1"/>
  <c r="M72" i="5"/>
  <c r="N72" i="5" s="1"/>
  <c r="O72" i="5" s="1"/>
  <c r="P72" i="5" s="1"/>
  <c r="Q72" i="5" s="1"/>
  <c r="S72" i="5" s="1"/>
  <c r="U72" i="5" s="1"/>
  <c r="M71" i="5"/>
  <c r="N71" i="5" s="1"/>
  <c r="O71" i="5" s="1"/>
  <c r="P71" i="5" s="1"/>
  <c r="Q71" i="5" s="1"/>
  <c r="S71" i="5" s="1"/>
  <c r="U71" i="5" s="1"/>
  <c r="M68" i="5"/>
  <c r="N68" i="5" s="1"/>
  <c r="O68" i="5" s="1"/>
  <c r="P68" i="5" s="1"/>
  <c r="Q68" i="5" s="1"/>
  <c r="S68" i="5" s="1"/>
  <c r="U68" i="5" s="1"/>
  <c r="M73" i="5"/>
  <c r="N73" i="5" s="1"/>
  <c r="O73" i="5" s="1"/>
  <c r="P73" i="5" s="1"/>
  <c r="Q73" i="5" s="1"/>
  <c r="S73" i="5" s="1"/>
  <c r="U73" i="5" s="1"/>
  <c r="M69" i="5"/>
  <c r="N69" i="5" s="1"/>
  <c r="O69" i="5" s="1"/>
  <c r="P69" i="5" s="1"/>
  <c r="Q69" i="5" s="1"/>
  <c r="S69" i="5" s="1"/>
  <c r="U69" i="5" s="1"/>
  <c r="M51" i="5"/>
  <c r="M67" i="5"/>
  <c r="M35" i="5"/>
  <c r="M39" i="5"/>
  <c r="F5" i="5"/>
  <c r="F3" i="5"/>
  <c r="M63" i="5"/>
  <c r="M47" i="5"/>
  <c r="M31" i="5"/>
  <c r="M59" i="5"/>
  <c r="M43" i="5"/>
  <c r="M27" i="5"/>
  <c r="M55" i="5"/>
  <c r="D14" i="5"/>
  <c r="M28" i="5"/>
  <c r="M32" i="5"/>
  <c r="M36" i="5"/>
  <c r="M40" i="5"/>
  <c r="M44" i="5"/>
  <c r="M48" i="5"/>
  <c r="M52" i="5"/>
  <c r="M56" i="5"/>
  <c r="M60" i="5"/>
  <c r="M64" i="5"/>
  <c r="M29" i="5"/>
  <c r="M33" i="5"/>
  <c r="M37" i="5"/>
  <c r="M41" i="5"/>
  <c r="M45" i="5"/>
  <c r="M49" i="5"/>
  <c r="M53" i="5"/>
  <c r="M57" i="5"/>
  <c r="M61" i="5"/>
  <c r="M65" i="5"/>
  <c r="M26" i="5"/>
  <c r="M30" i="5"/>
  <c r="M34" i="5"/>
  <c r="M38" i="5"/>
  <c r="M42" i="5"/>
  <c r="M46" i="5"/>
  <c r="M50" i="5"/>
  <c r="M54" i="5"/>
  <c r="M58" i="5"/>
  <c r="M62" i="5"/>
  <c r="M66" i="5"/>
  <c r="C72" i="5" l="1"/>
  <c r="D72" i="5" s="1"/>
  <c r="E72" i="5" s="1"/>
  <c r="G72" i="5" s="1"/>
  <c r="C64" i="5"/>
  <c r="D64" i="5" s="1"/>
  <c r="E64" i="5" s="1"/>
  <c r="G64" i="5" s="1"/>
  <c r="C74" i="5"/>
  <c r="D74" i="5" s="1"/>
  <c r="E74" i="5" s="1"/>
  <c r="G74" i="5" s="1"/>
  <c r="C75" i="5"/>
  <c r="D75" i="5" s="1"/>
  <c r="E75" i="5" s="1"/>
  <c r="G75" i="5" s="1"/>
  <c r="C62" i="5"/>
  <c r="D62" i="5" s="1"/>
  <c r="E62" i="5" s="1"/>
  <c r="G62" i="5" s="1"/>
  <c r="C63" i="5"/>
  <c r="D63" i="5" s="1"/>
  <c r="E63" i="5" s="1"/>
  <c r="G63" i="5" s="1"/>
  <c r="C65" i="5"/>
  <c r="D65" i="5" s="1"/>
  <c r="E65" i="5" s="1"/>
  <c r="G65" i="5" s="1"/>
  <c r="C71" i="5"/>
  <c r="D71" i="5" s="1"/>
  <c r="E71" i="5" s="1"/>
  <c r="G71" i="5" s="1"/>
  <c r="C66" i="5"/>
  <c r="D66" i="5" s="1"/>
  <c r="E66" i="5" s="1"/>
  <c r="G66" i="5" s="1"/>
  <c r="C67" i="5"/>
  <c r="D67" i="5" s="1"/>
  <c r="E67" i="5" s="1"/>
  <c r="G67" i="5" s="1"/>
  <c r="C69" i="5"/>
  <c r="D69" i="5" s="1"/>
  <c r="E69" i="5" s="1"/>
  <c r="G69" i="5" s="1"/>
  <c r="C68" i="5"/>
  <c r="D68" i="5" s="1"/>
  <c r="E68" i="5" s="1"/>
  <c r="G68" i="5" s="1"/>
  <c r="C73" i="5"/>
  <c r="D73" i="5" s="1"/>
  <c r="E73" i="5" s="1"/>
  <c r="G73" i="5" s="1"/>
  <c r="C70" i="5"/>
  <c r="D70" i="5" s="1"/>
  <c r="E70" i="5" s="1"/>
  <c r="G70" i="5" s="1"/>
  <c r="C14" i="5"/>
  <c r="C61" i="5"/>
  <c r="D61" i="5" s="1"/>
  <c r="E61" i="5" s="1"/>
  <c r="G61" i="5" s="1"/>
  <c r="K67" i="5"/>
  <c r="K63" i="5"/>
  <c r="K59" i="5"/>
  <c r="K55" i="5"/>
  <c r="K51" i="5"/>
  <c r="K47" i="5"/>
  <c r="K43" i="5"/>
  <c r="K39" i="5"/>
  <c r="K35" i="5"/>
  <c r="K31" i="5"/>
  <c r="K27" i="5"/>
  <c r="B57" i="5"/>
  <c r="B26" i="5"/>
  <c r="K66" i="5"/>
  <c r="K62" i="5"/>
  <c r="K58" i="5"/>
  <c r="K54" i="5"/>
  <c r="K50" i="5"/>
  <c r="K46" i="5"/>
  <c r="K42" i="5"/>
  <c r="K38" i="5"/>
  <c r="K34" i="5"/>
  <c r="K30" i="5"/>
  <c r="B60" i="5"/>
  <c r="B56" i="5"/>
  <c r="K60" i="5"/>
  <c r="K56" i="5"/>
  <c r="K44" i="5"/>
  <c r="K36" i="5"/>
  <c r="K28" i="5"/>
  <c r="K65" i="5"/>
  <c r="K61" i="5"/>
  <c r="K57" i="5"/>
  <c r="K53" i="5"/>
  <c r="K49" i="5"/>
  <c r="K45" i="5"/>
  <c r="K41" i="5"/>
  <c r="K37" i="5"/>
  <c r="K33" i="5"/>
  <c r="K29" i="5"/>
  <c r="B59" i="5"/>
  <c r="B27" i="5"/>
  <c r="K64" i="5"/>
  <c r="K52" i="5"/>
  <c r="K48" i="5"/>
  <c r="K40" i="5"/>
  <c r="K32" i="5"/>
  <c r="B58" i="5"/>
  <c r="J65" i="5"/>
  <c r="J61" i="5"/>
  <c r="J57" i="5"/>
  <c r="J53" i="5"/>
  <c r="J49" i="5"/>
  <c r="J45" i="5"/>
  <c r="J41" i="5"/>
  <c r="J37" i="5"/>
  <c r="J33" i="5"/>
  <c r="J29" i="5"/>
  <c r="J34" i="5"/>
  <c r="J64" i="5"/>
  <c r="J60" i="5"/>
  <c r="J56" i="5"/>
  <c r="J52" i="5"/>
  <c r="J48" i="5"/>
  <c r="J44" i="5"/>
  <c r="J40" i="5"/>
  <c r="J36" i="5"/>
  <c r="J32" i="5"/>
  <c r="J28" i="5"/>
  <c r="J62" i="5"/>
  <c r="J54" i="5"/>
  <c r="J46" i="5"/>
  <c r="J38" i="5"/>
  <c r="J26" i="5"/>
  <c r="J67" i="5"/>
  <c r="J63" i="5"/>
  <c r="J59" i="5"/>
  <c r="J55" i="5"/>
  <c r="J51" i="5"/>
  <c r="J47" i="5"/>
  <c r="J43" i="5"/>
  <c r="J39" i="5"/>
  <c r="J35" i="5"/>
  <c r="J31" i="5"/>
  <c r="J27" i="5"/>
  <c r="J66" i="5"/>
  <c r="J58" i="5"/>
  <c r="J50" i="5"/>
  <c r="J42" i="5"/>
  <c r="J30" i="5"/>
  <c r="K26" i="5"/>
  <c r="F7" i="6" l="1"/>
  <c r="F8" i="6"/>
  <c r="B12" i="6"/>
  <c r="B11" i="6"/>
  <c r="I15" i="4"/>
  <c r="F3" i="6" l="1"/>
  <c r="F25" i="3" l="1"/>
  <c r="E25" i="3"/>
  <c r="C25" i="3"/>
  <c r="B25" i="3"/>
  <c r="D25" i="3" s="1"/>
  <c r="D5" i="3"/>
  <c r="D4" i="3"/>
  <c r="F5" i="3"/>
  <c r="E5" i="3"/>
  <c r="C5" i="3"/>
  <c r="B5" i="3"/>
  <c r="E6" i="3"/>
  <c r="E4" i="3"/>
  <c r="N67" i="5" l="1"/>
  <c r="N66" i="5"/>
  <c r="N65" i="5"/>
  <c r="N64" i="5"/>
  <c r="O64" i="5" s="1"/>
  <c r="P64" i="5" s="1"/>
  <c r="N63" i="5"/>
  <c r="O63" i="5" s="1"/>
  <c r="P63" i="5" s="1"/>
  <c r="N62" i="5"/>
  <c r="N61" i="5"/>
  <c r="N57" i="5"/>
  <c r="N55" i="5"/>
  <c r="O55" i="5" s="1"/>
  <c r="P55" i="5" s="1"/>
  <c r="N54" i="5"/>
  <c r="O54" i="5" s="1"/>
  <c r="P54" i="5" s="1"/>
  <c r="N53" i="5"/>
  <c r="O53" i="5" s="1"/>
  <c r="P53" i="5" s="1"/>
  <c r="N52" i="5"/>
  <c r="N51" i="5"/>
  <c r="O51" i="5" s="1"/>
  <c r="P51" i="5" s="1"/>
  <c r="N50" i="5"/>
  <c r="N49" i="5"/>
  <c r="N48" i="5"/>
  <c r="N47" i="5"/>
  <c r="O47" i="5" s="1"/>
  <c r="P47" i="5" s="1"/>
  <c r="N46" i="5"/>
  <c r="O46" i="5" s="1"/>
  <c r="P46" i="5" s="1"/>
  <c r="N45" i="5"/>
  <c r="O45" i="5" s="1"/>
  <c r="P45" i="5" s="1"/>
  <c r="N38" i="5"/>
  <c r="N37" i="5"/>
  <c r="N36" i="5"/>
  <c r="N35" i="5"/>
  <c r="N34" i="5"/>
  <c r="N33" i="5"/>
  <c r="N32" i="5"/>
  <c r="N31" i="5"/>
  <c r="N30" i="5"/>
  <c r="N29" i="5"/>
  <c r="N28" i="5"/>
  <c r="N27" i="5"/>
  <c r="O27" i="5" s="1"/>
  <c r="P27" i="5" s="1"/>
  <c r="N39" i="5" l="1"/>
  <c r="N40" i="5"/>
  <c r="N60" i="5"/>
  <c r="N59" i="5"/>
  <c r="N58" i="5"/>
  <c r="N43" i="5"/>
  <c r="O43" i="5" s="1"/>
  <c r="P43" i="5" s="1"/>
  <c r="N44" i="5"/>
  <c r="O44" i="5" s="1"/>
  <c r="P44" i="5" s="1"/>
  <c r="N41" i="5"/>
  <c r="N56" i="5"/>
  <c r="N42" i="5"/>
  <c r="O42" i="5" s="1"/>
  <c r="P42" i="5" s="1"/>
  <c r="L42" i="5"/>
  <c r="R42" i="5" s="1"/>
  <c r="L27" i="5"/>
  <c r="R27" i="5" s="1"/>
  <c r="C60" i="5"/>
  <c r="D60" i="5" s="1"/>
  <c r="C59" i="5"/>
  <c r="D59" i="5" s="1"/>
  <c r="C58" i="5"/>
  <c r="D58" i="5" s="1"/>
  <c r="C57" i="5"/>
  <c r="D57" i="5" s="1"/>
  <c r="C27" i="5"/>
  <c r="D27" i="5" s="1"/>
  <c r="C26" i="5"/>
  <c r="D26" i="5" s="1"/>
  <c r="B24" i="5"/>
  <c r="B14" i="6"/>
  <c r="D13" i="6"/>
  <c r="D14" i="6" s="1"/>
  <c r="C14" i="6" l="1"/>
  <c r="F26" i="5"/>
  <c r="E59" i="5"/>
  <c r="E57" i="5"/>
  <c r="E58" i="5"/>
  <c r="F27" i="5"/>
  <c r="E60" i="5"/>
  <c r="F59" i="5"/>
  <c r="F5" i="6"/>
  <c r="F60" i="5"/>
  <c r="F58" i="5"/>
  <c r="F57" i="5"/>
  <c r="Q42" i="5"/>
  <c r="Q27" i="5"/>
  <c r="B15" i="4"/>
  <c r="A16" i="4"/>
  <c r="A17" i="4" s="1"/>
  <c r="B16" i="4"/>
  <c r="G17" i="4"/>
  <c r="G15" i="4"/>
  <c r="I17" i="4"/>
  <c r="I16" i="4"/>
  <c r="G16" i="4" l="1"/>
  <c r="C16" i="4" s="1"/>
  <c r="C15" i="4"/>
  <c r="G57" i="5"/>
  <c r="G60" i="5"/>
  <c r="G59" i="5"/>
  <c r="G58" i="5"/>
  <c r="B17" i="4"/>
  <c r="C17" i="4" s="1"/>
  <c r="A18" i="4"/>
  <c r="G18" i="4" l="1"/>
  <c r="A19" i="4"/>
  <c r="I18" i="4"/>
  <c r="B18" i="4"/>
  <c r="B8" i="4"/>
  <c r="B7" i="4"/>
  <c r="D17" i="4" l="1"/>
  <c r="F17" i="4" s="1"/>
  <c r="E17" i="4" s="1"/>
  <c r="H17" i="4"/>
  <c r="D15" i="4"/>
  <c r="F15" i="4" s="1"/>
  <c r="E15" i="4" s="1"/>
  <c r="H15" i="4"/>
  <c r="H16" i="4"/>
  <c r="H18" i="4"/>
  <c r="D16" i="4"/>
  <c r="F16" i="4" s="1"/>
  <c r="E16" i="4" s="1"/>
  <c r="C18" i="4"/>
  <c r="D18" i="4" s="1"/>
  <c r="F18" i="4" s="1"/>
  <c r="E18" i="4" s="1"/>
  <c r="B19" i="4"/>
  <c r="G19" i="4"/>
  <c r="H19" i="4" s="1"/>
  <c r="A20" i="4"/>
  <c r="I19" i="4"/>
  <c r="O19" i="12"/>
  <c r="S19" i="12" s="1"/>
  <c r="O15" i="12"/>
  <c r="S15" i="12" s="1"/>
  <c r="O10" i="12"/>
  <c r="S10" i="12" s="1"/>
  <c r="R19" i="12"/>
  <c r="R15" i="12"/>
  <c r="R10" i="12"/>
  <c r="C19" i="4" l="1"/>
  <c r="D19" i="4" s="1"/>
  <c r="F19" i="4" s="1"/>
  <c r="E19" i="4" s="1"/>
  <c r="A21" i="4"/>
  <c r="G20" i="4"/>
  <c r="H20" i="4" s="1"/>
  <c r="B20" i="4"/>
  <c r="I20" i="4"/>
  <c r="A33" i="12"/>
  <c r="E33" i="12" s="1"/>
  <c r="B33" i="12"/>
  <c r="A34" i="12"/>
  <c r="B34" i="12"/>
  <c r="A35" i="12"/>
  <c r="E35" i="12" s="1"/>
  <c r="B35" i="12"/>
  <c r="I69" i="12"/>
  <c r="I70" i="12" s="1"/>
  <c r="B21" i="4" l="1"/>
  <c r="A22" i="4"/>
  <c r="I21" i="4"/>
  <c r="G21" i="4"/>
  <c r="H21" i="4" s="1"/>
  <c r="C20" i="4"/>
  <c r="D20" i="4" s="1"/>
  <c r="F20" i="4" s="1"/>
  <c r="E20" i="4" s="1"/>
  <c r="C35" i="12"/>
  <c r="F35" i="12" s="1"/>
  <c r="C34" i="12"/>
  <c r="F34" i="12" s="1"/>
  <c r="C33" i="12"/>
  <c r="F33" i="12" s="1"/>
  <c r="E34" i="12"/>
  <c r="I159" i="12"/>
  <c r="I160" i="12" s="1"/>
  <c r="I130" i="12"/>
  <c r="I131" i="12" s="1"/>
  <c r="I98" i="12"/>
  <c r="I99" i="12" s="1"/>
  <c r="R23" i="12"/>
  <c r="Q23" i="12"/>
  <c r="Q22" i="12"/>
  <c r="Q21" i="12"/>
  <c r="Q20" i="12"/>
  <c r="Q19" i="12"/>
  <c r="Q18" i="12"/>
  <c r="Q17" i="12"/>
  <c r="Q16" i="12"/>
  <c r="Q15" i="12"/>
  <c r="Q14" i="12"/>
  <c r="R13" i="12"/>
  <c r="Q13" i="12"/>
  <c r="R12" i="12"/>
  <c r="Q12" i="12"/>
  <c r="R11" i="12"/>
  <c r="Q11" i="12"/>
  <c r="Q10" i="12"/>
  <c r="Q9" i="12"/>
  <c r="Q8" i="12"/>
  <c r="A42" i="12"/>
  <c r="R22" i="12" s="1"/>
  <c r="A41" i="12"/>
  <c r="A40" i="12"/>
  <c r="A39" i="12"/>
  <c r="R18" i="12" s="1"/>
  <c r="A38" i="12"/>
  <c r="A37" i="12"/>
  <c r="A36" i="12"/>
  <c r="E36" i="12" s="1"/>
  <c r="A32" i="12"/>
  <c r="A31" i="12"/>
  <c r="R8" i="12" s="1"/>
  <c r="A30" i="12"/>
  <c r="R7" i="12" s="1"/>
  <c r="Q7" i="12"/>
  <c r="B42" i="12"/>
  <c r="E42" i="12"/>
  <c r="E41" i="12"/>
  <c r="B41" i="12"/>
  <c r="B40" i="12"/>
  <c r="B39" i="12"/>
  <c r="B38" i="12"/>
  <c r="C38" i="12" s="1"/>
  <c r="F38" i="12" s="1"/>
  <c r="B37" i="12"/>
  <c r="B36" i="12"/>
  <c r="B32" i="12"/>
  <c r="E31" i="12"/>
  <c r="B31" i="12"/>
  <c r="N15" i="12"/>
  <c r="N23" i="12"/>
  <c r="O23" i="12" s="1"/>
  <c r="N22" i="12"/>
  <c r="O22" i="12" s="1"/>
  <c r="I42" i="12" s="1"/>
  <c r="N21" i="12"/>
  <c r="N20" i="12"/>
  <c r="N19" i="12"/>
  <c r="N18" i="12"/>
  <c r="N17" i="12"/>
  <c r="N16" i="12"/>
  <c r="N14" i="12"/>
  <c r="N13" i="12"/>
  <c r="O13" i="12" s="1"/>
  <c r="I35" i="12" s="1"/>
  <c r="N12" i="12"/>
  <c r="N11" i="12"/>
  <c r="O11" i="12" s="1"/>
  <c r="I33" i="12" s="1"/>
  <c r="N10" i="12"/>
  <c r="N9" i="12"/>
  <c r="N8" i="12"/>
  <c r="N7" i="12"/>
  <c r="B30" i="12"/>
  <c r="A23" i="4" l="1"/>
  <c r="G22" i="4"/>
  <c r="H22" i="4" s="1"/>
  <c r="I22" i="4"/>
  <c r="B22" i="4"/>
  <c r="C21" i="4"/>
  <c r="D21" i="4" s="1"/>
  <c r="F21" i="4" s="1"/>
  <c r="E21" i="4" s="1"/>
  <c r="O7" i="12"/>
  <c r="I30" i="12" s="1"/>
  <c r="O14" i="12"/>
  <c r="I36" i="12" s="1"/>
  <c r="C32" i="12"/>
  <c r="F32" i="12" s="1"/>
  <c r="E39" i="12"/>
  <c r="O20" i="12"/>
  <c r="I40" i="12" s="1"/>
  <c r="O21" i="12"/>
  <c r="I41" i="12" s="1"/>
  <c r="O18" i="12"/>
  <c r="I39" i="12" s="1"/>
  <c r="C37" i="12"/>
  <c r="F37" i="12" s="1"/>
  <c r="R14" i="12"/>
  <c r="R16" i="12"/>
  <c r="R20" i="12"/>
  <c r="C31" i="12"/>
  <c r="F31" i="12" s="1"/>
  <c r="E37" i="12"/>
  <c r="O9" i="12"/>
  <c r="I32" i="12" s="1"/>
  <c r="O17" i="12"/>
  <c r="I38" i="12" s="1"/>
  <c r="C30" i="12"/>
  <c r="F30" i="12" s="1"/>
  <c r="R9" i="12"/>
  <c r="R17" i="12"/>
  <c r="R21" i="12"/>
  <c r="S22" i="12"/>
  <c r="T22" i="12" s="1"/>
  <c r="S13" i="12"/>
  <c r="T13" i="12" s="1"/>
  <c r="S11" i="12"/>
  <c r="T11" i="12" s="1"/>
  <c r="S23" i="12"/>
  <c r="C40" i="12"/>
  <c r="F40" i="12" s="1"/>
  <c r="E32" i="12"/>
  <c r="E38" i="12"/>
  <c r="E40" i="12"/>
  <c r="O8" i="12"/>
  <c r="S8" i="12" s="1"/>
  <c r="T8" i="12" s="1"/>
  <c r="O12" i="12"/>
  <c r="O16" i="12"/>
  <c r="C41" i="12"/>
  <c r="F41" i="12" s="1"/>
  <c r="E30" i="12"/>
  <c r="C36" i="12"/>
  <c r="F36" i="12" s="1"/>
  <c r="C39" i="12"/>
  <c r="F39" i="12" s="1"/>
  <c r="C42" i="12"/>
  <c r="F42" i="12" s="1"/>
  <c r="I151" i="7"/>
  <c r="I152" i="7" s="1"/>
  <c r="I122" i="7"/>
  <c r="I123" i="7" s="1"/>
  <c r="I90" i="7"/>
  <c r="I91" i="7" s="1"/>
  <c r="I61" i="7"/>
  <c r="I62" i="7" s="1"/>
  <c r="A25" i="7"/>
  <c r="B25" i="7"/>
  <c r="I25" i="7"/>
  <c r="A26" i="7"/>
  <c r="B26" i="7"/>
  <c r="I26" i="7"/>
  <c r="A27" i="7"/>
  <c r="B27" i="7"/>
  <c r="C27" i="7" s="1"/>
  <c r="I27" i="7"/>
  <c r="A28" i="7"/>
  <c r="B28" i="7"/>
  <c r="I28" i="7"/>
  <c r="A29" i="7"/>
  <c r="C29" i="7" s="1"/>
  <c r="B29" i="7"/>
  <c r="I29" i="7"/>
  <c r="A30" i="7"/>
  <c r="C30" i="7" s="1"/>
  <c r="B30" i="7"/>
  <c r="I30" i="7"/>
  <c r="A31" i="7"/>
  <c r="B31" i="7"/>
  <c r="I31" i="7"/>
  <c r="A32" i="7"/>
  <c r="B32" i="7"/>
  <c r="I32" i="7"/>
  <c r="A33" i="7"/>
  <c r="B33" i="7"/>
  <c r="I33" i="7"/>
  <c r="A34" i="7"/>
  <c r="B34" i="7"/>
  <c r="I34" i="7"/>
  <c r="A35" i="7"/>
  <c r="C35" i="7" s="1"/>
  <c r="B35" i="7"/>
  <c r="I35" i="7"/>
  <c r="I24" i="7"/>
  <c r="B24" i="7"/>
  <c r="A24" i="7"/>
  <c r="C25" i="7" l="1"/>
  <c r="C31" i="7"/>
  <c r="C33" i="7"/>
  <c r="C24" i="7"/>
  <c r="C34" i="7"/>
  <c r="C26" i="7"/>
  <c r="C28" i="7"/>
  <c r="C32" i="7"/>
  <c r="C22" i="4"/>
  <c r="D22" i="4" s="1"/>
  <c r="F22" i="4" s="1"/>
  <c r="E22" i="4" s="1"/>
  <c r="B23" i="4"/>
  <c r="A24" i="4"/>
  <c r="G23" i="4"/>
  <c r="H23" i="4" s="1"/>
  <c r="I23" i="4"/>
  <c r="S7" i="12"/>
  <c r="T7" i="12" s="1"/>
  <c r="S21" i="12"/>
  <c r="T21" i="12" s="1"/>
  <c r="S14" i="12"/>
  <c r="T14" i="12" s="1"/>
  <c r="S16" i="12"/>
  <c r="T16" i="12" s="1"/>
  <c r="S18" i="12"/>
  <c r="T18" i="12" s="1"/>
  <c r="S20" i="12"/>
  <c r="T20" i="12" s="1"/>
  <c r="S9" i="12"/>
  <c r="T9" i="12" s="1"/>
  <c r="S12" i="12"/>
  <c r="T12" i="12" s="1"/>
  <c r="I34" i="12"/>
  <c r="S17" i="12"/>
  <c r="T17" i="12" s="1"/>
  <c r="I37" i="12"/>
  <c r="I31" i="12"/>
  <c r="I134" i="11"/>
  <c r="I135" i="11" s="1"/>
  <c r="I105" i="11"/>
  <c r="I106" i="11" s="1"/>
  <c r="I73" i="11"/>
  <c r="I74" i="11" s="1"/>
  <c r="I44" i="11"/>
  <c r="I45" i="11" s="1"/>
  <c r="I150" i="10"/>
  <c r="I151" i="10" s="1"/>
  <c r="I121" i="10"/>
  <c r="I122" i="10" s="1"/>
  <c r="I89" i="10"/>
  <c r="I90" i="10" s="1"/>
  <c r="I60" i="10"/>
  <c r="I61" i="10" s="1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I219" i="1"/>
  <c r="I220" i="1" s="1"/>
  <c r="I190" i="1"/>
  <c r="I191" i="1" s="1"/>
  <c r="I158" i="1"/>
  <c r="I159" i="1" s="1"/>
  <c r="I129" i="1"/>
  <c r="I130" i="1" s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I99" i="9"/>
  <c r="I100" i="9" s="1"/>
  <c r="I189" i="9"/>
  <c r="I190" i="9" s="1"/>
  <c r="I160" i="9"/>
  <c r="I161" i="9" s="1"/>
  <c r="I128" i="9"/>
  <c r="I129" i="9" s="1"/>
  <c r="AC25" i="9"/>
  <c r="AC24" i="9"/>
  <c r="AC23" i="9"/>
  <c r="AC22" i="9"/>
  <c r="AC21" i="9"/>
  <c r="AC20" i="9"/>
  <c r="AC19" i="9"/>
  <c r="AC18" i="9"/>
  <c r="AC17" i="9"/>
  <c r="AC16" i="9"/>
  <c r="AC15" i="9"/>
  <c r="AC14" i="9"/>
  <c r="AC13" i="9"/>
  <c r="AC12" i="9"/>
  <c r="AC11" i="9"/>
  <c r="AC10" i="9"/>
  <c r="AC9" i="9"/>
  <c r="AC8" i="9"/>
  <c r="AC7" i="9"/>
  <c r="AC6" i="9"/>
  <c r="AF25" i="9"/>
  <c r="AF24" i="9"/>
  <c r="AF23" i="9"/>
  <c r="AF22" i="9"/>
  <c r="AF21" i="9"/>
  <c r="AF20" i="9"/>
  <c r="AF19" i="9"/>
  <c r="AF18" i="9"/>
  <c r="AF17" i="9"/>
  <c r="AF16" i="9"/>
  <c r="AF15" i="9"/>
  <c r="AF14" i="9"/>
  <c r="AF13" i="9"/>
  <c r="AF12" i="9"/>
  <c r="AF11" i="9"/>
  <c r="AF10" i="9"/>
  <c r="AF9" i="9"/>
  <c r="AF8" i="9"/>
  <c r="AF7" i="9"/>
  <c r="AF6" i="9"/>
  <c r="I149" i="8"/>
  <c r="I150" i="8" s="1"/>
  <c r="I120" i="8"/>
  <c r="I121" i="8" s="1"/>
  <c r="I88" i="8"/>
  <c r="I89" i="8" s="1"/>
  <c r="I59" i="8"/>
  <c r="I60" i="8" s="1"/>
  <c r="AF30" i="8"/>
  <c r="AE30" i="8"/>
  <c r="AC30" i="8"/>
  <c r="AF29" i="8"/>
  <c r="AE29" i="8"/>
  <c r="AC29" i="8"/>
  <c r="AF28" i="8"/>
  <c r="AE28" i="8"/>
  <c r="AC28" i="8"/>
  <c r="AF27" i="8"/>
  <c r="AE27" i="8"/>
  <c r="AC27" i="8"/>
  <c r="AF26" i="8"/>
  <c r="AE26" i="8"/>
  <c r="AC26" i="8"/>
  <c r="AF25" i="8"/>
  <c r="AE25" i="8"/>
  <c r="AC25" i="8"/>
  <c r="AF24" i="8"/>
  <c r="AE24" i="8"/>
  <c r="AC24" i="8"/>
  <c r="AF23" i="8"/>
  <c r="AE23" i="8"/>
  <c r="AC23" i="8"/>
  <c r="AF22" i="8"/>
  <c r="AE22" i="8"/>
  <c r="AC22" i="8"/>
  <c r="AF21" i="8"/>
  <c r="AE21" i="8"/>
  <c r="AC21" i="8"/>
  <c r="AF20" i="8"/>
  <c r="AE20" i="8"/>
  <c r="AC20" i="8"/>
  <c r="AF19" i="8"/>
  <c r="AE19" i="8"/>
  <c r="AC19" i="8"/>
  <c r="AF18" i="8"/>
  <c r="AE18" i="8"/>
  <c r="AC18" i="8"/>
  <c r="AF17" i="8"/>
  <c r="AE17" i="8"/>
  <c r="AC17" i="8"/>
  <c r="AF16" i="8"/>
  <c r="AE16" i="8"/>
  <c r="AC16" i="8"/>
  <c r="AF15" i="8"/>
  <c r="AE15" i="8"/>
  <c r="AC15" i="8"/>
  <c r="AF14" i="8"/>
  <c r="AE14" i="8"/>
  <c r="AC14" i="8"/>
  <c r="AF13" i="8"/>
  <c r="AE13" i="8"/>
  <c r="AC13" i="8"/>
  <c r="AE12" i="8"/>
  <c r="AF12" i="8"/>
  <c r="AC12" i="8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I137" i="2"/>
  <c r="I138" i="2" s="1"/>
  <c r="I108" i="2"/>
  <c r="I109" i="2" s="1"/>
  <c r="I76" i="2"/>
  <c r="I77" i="2" s="1"/>
  <c r="I47" i="2"/>
  <c r="I48" i="2" s="1"/>
  <c r="G24" i="4" l="1"/>
  <c r="H24" i="4" s="1"/>
  <c r="A25" i="4"/>
  <c r="I24" i="4"/>
  <c r="B24" i="4"/>
  <c r="C23" i="4"/>
  <c r="D23" i="4" s="1"/>
  <c r="F23" i="4" s="1"/>
  <c r="E23" i="4" s="1"/>
  <c r="T25" i="12"/>
  <c r="S25" i="1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F56" i="1"/>
  <c r="F54" i="1"/>
  <c r="E56" i="1"/>
  <c r="E55" i="1"/>
  <c r="F55" i="1" s="1"/>
  <c r="E54" i="1"/>
  <c r="D64" i="9"/>
  <c r="D68" i="9" s="1"/>
  <c r="D63" i="9"/>
  <c r="D62" i="9"/>
  <c r="D61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C24" i="4" l="1"/>
  <c r="D24" i="4" s="1"/>
  <c r="F24" i="4" s="1"/>
  <c r="E24" i="4" s="1"/>
  <c r="B25" i="4"/>
  <c r="A26" i="4"/>
  <c r="G25" i="4"/>
  <c r="H25" i="4" s="1"/>
  <c r="I25" i="4"/>
  <c r="G15" i="7"/>
  <c r="G19" i="7" s="1"/>
  <c r="G10" i="7"/>
  <c r="C25" i="4" l="1"/>
  <c r="D25" i="4" s="1"/>
  <c r="F25" i="4" s="1"/>
  <c r="E25" i="4" s="1"/>
  <c r="A27" i="4"/>
  <c r="B26" i="4"/>
  <c r="I26" i="4"/>
  <c r="G26" i="4"/>
  <c r="H26" i="4" s="1"/>
  <c r="E5" i="8"/>
  <c r="E4" i="8"/>
  <c r="K30" i="8" s="1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26" i="4" l="1"/>
  <c r="D26" i="4" s="1"/>
  <c r="F26" i="4" s="1"/>
  <c r="E26" i="4" s="1"/>
  <c r="B27" i="4"/>
  <c r="A28" i="4"/>
  <c r="I27" i="4"/>
  <c r="G27" i="4"/>
  <c r="H27" i="4" s="1"/>
  <c r="R16" i="8"/>
  <c r="R20" i="8"/>
  <c r="R24" i="8"/>
  <c r="R21" i="8"/>
  <c r="R30" i="8"/>
  <c r="R27" i="8"/>
  <c r="K15" i="8"/>
  <c r="N15" i="8" s="1"/>
  <c r="K20" i="8"/>
  <c r="L20" i="8" s="1"/>
  <c r="K23" i="8"/>
  <c r="N23" i="8" s="1"/>
  <c r="K12" i="8"/>
  <c r="R12" i="8" s="1"/>
  <c r="K28" i="8"/>
  <c r="L28" i="8" s="1"/>
  <c r="N28" i="8"/>
  <c r="L30" i="8"/>
  <c r="K16" i="8"/>
  <c r="L16" i="8" s="1"/>
  <c r="K24" i="8"/>
  <c r="N24" i="8" s="1"/>
  <c r="L23" i="8"/>
  <c r="K19" i="8"/>
  <c r="N19" i="8" s="1"/>
  <c r="K27" i="8"/>
  <c r="N27" i="8" s="1"/>
  <c r="N30" i="8"/>
  <c r="O15" i="8"/>
  <c r="O19" i="8"/>
  <c r="O23" i="8"/>
  <c r="O27" i="8"/>
  <c r="O12" i="8"/>
  <c r="O20" i="8"/>
  <c r="O28" i="8"/>
  <c r="K13" i="8"/>
  <c r="L13" i="8" s="1"/>
  <c r="K17" i="8"/>
  <c r="L17" i="8" s="1"/>
  <c r="K21" i="8"/>
  <c r="L21" i="8" s="1"/>
  <c r="K25" i="8"/>
  <c r="L25" i="8" s="1"/>
  <c r="K29" i="8"/>
  <c r="L29" i="8" s="1"/>
  <c r="O13" i="8"/>
  <c r="O17" i="8"/>
  <c r="O21" i="8"/>
  <c r="O25" i="8"/>
  <c r="O29" i="8"/>
  <c r="O16" i="8"/>
  <c r="O24" i="8"/>
  <c r="K14" i="8"/>
  <c r="L14" i="8" s="1"/>
  <c r="K18" i="8"/>
  <c r="L18" i="8" s="1"/>
  <c r="K22" i="8"/>
  <c r="L22" i="8" s="1"/>
  <c r="K26" i="8"/>
  <c r="L26" i="8" s="1"/>
  <c r="O14" i="8"/>
  <c r="O18" i="8"/>
  <c r="O22" i="8"/>
  <c r="O26" i="8"/>
  <c r="O30" i="8"/>
  <c r="G14" i="7"/>
  <c r="G18" i="7" s="1"/>
  <c r="G9" i="7"/>
  <c r="C27" i="4" l="1"/>
  <c r="D27" i="4" s="1"/>
  <c r="F27" i="4" s="1"/>
  <c r="E27" i="4" s="1"/>
  <c r="G28" i="4"/>
  <c r="H28" i="4" s="1"/>
  <c r="A29" i="4"/>
  <c r="B28" i="4"/>
  <c r="I28" i="4"/>
  <c r="R18" i="8"/>
  <c r="R15" i="8"/>
  <c r="L15" i="8"/>
  <c r="R14" i="8"/>
  <c r="R17" i="8"/>
  <c r="N12" i="8"/>
  <c r="R23" i="8"/>
  <c r="R26" i="8"/>
  <c r="R29" i="8"/>
  <c r="R13" i="8"/>
  <c r="R19" i="8"/>
  <c r="R22" i="8"/>
  <c r="R25" i="8"/>
  <c r="R28" i="8"/>
  <c r="L12" i="8"/>
  <c r="N20" i="8"/>
  <c r="L24" i="8"/>
  <c r="L19" i="8"/>
  <c r="N16" i="8"/>
  <c r="L27" i="8"/>
  <c r="N21" i="8"/>
  <c r="N25" i="8"/>
  <c r="N26" i="8"/>
  <c r="N13" i="8"/>
  <c r="N17" i="8"/>
  <c r="N18" i="8"/>
  <c r="N22" i="8"/>
  <c r="N29" i="8"/>
  <c r="N14" i="8"/>
  <c r="B29" i="4" l="1"/>
  <c r="A30" i="4"/>
  <c r="I29" i="4"/>
  <c r="G29" i="4"/>
  <c r="H29" i="4" s="1"/>
  <c r="C28" i="4"/>
  <c r="D28" i="4" s="1"/>
  <c r="F28" i="4" s="1"/>
  <c r="E28" i="4" s="1"/>
  <c r="G30" i="4" l="1"/>
  <c r="H30" i="4" s="1"/>
  <c r="A31" i="4"/>
  <c r="B30" i="4"/>
  <c r="I30" i="4"/>
  <c r="C29" i="4"/>
  <c r="D29" i="4" s="1"/>
  <c r="F29" i="4" s="1"/>
  <c r="E29" i="4" s="1"/>
  <c r="C30" i="4" l="1"/>
  <c r="D30" i="4" s="1"/>
  <c r="F30" i="4" s="1"/>
  <c r="E30" i="4" s="1"/>
  <c r="B31" i="4"/>
  <c r="A32" i="4"/>
  <c r="G31" i="4"/>
  <c r="H31" i="4" s="1"/>
  <c r="I31" i="4"/>
  <c r="I28" i="5"/>
  <c r="A28" i="5"/>
  <c r="B28" i="5" s="1"/>
  <c r="A29" i="5" l="1"/>
  <c r="B29" i="5" s="1"/>
  <c r="C28" i="5"/>
  <c r="D28" i="5" s="1"/>
  <c r="F28" i="5"/>
  <c r="O28" i="5"/>
  <c r="P28" i="5" s="1"/>
  <c r="L28" i="5"/>
  <c r="R28" i="5" s="1"/>
  <c r="C29" i="5"/>
  <c r="A33" i="4"/>
  <c r="I32" i="4"/>
  <c r="B32" i="4"/>
  <c r="G32" i="4"/>
  <c r="H32" i="4" s="1"/>
  <c r="C31" i="4"/>
  <c r="D31" i="4" s="1"/>
  <c r="F31" i="4" s="1"/>
  <c r="E31" i="4" s="1"/>
  <c r="I29" i="5"/>
  <c r="A30" i="5"/>
  <c r="B30" i="5" s="1"/>
  <c r="Q28" i="5" l="1"/>
  <c r="I30" i="5"/>
  <c r="I31" i="5" s="1"/>
  <c r="O29" i="5"/>
  <c r="P29" i="5" s="1"/>
  <c r="L29" i="5"/>
  <c r="R29" i="5" s="1"/>
  <c r="D29" i="5"/>
  <c r="E29" i="5" s="1"/>
  <c r="F29" i="5"/>
  <c r="C30" i="5"/>
  <c r="D30" i="5" s="1"/>
  <c r="C32" i="4"/>
  <c r="D32" i="4" s="1"/>
  <c r="F32" i="4" s="1"/>
  <c r="E32" i="4" s="1"/>
  <c r="B33" i="4"/>
  <c r="A34" i="4"/>
  <c r="G33" i="4"/>
  <c r="H33" i="4" s="1"/>
  <c r="I33" i="4"/>
  <c r="E26" i="5"/>
  <c r="G26" i="5" s="1"/>
  <c r="E28" i="5"/>
  <c r="G28" i="5" s="1"/>
  <c r="E27" i="5"/>
  <c r="A31" i="5"/>
  <c r="B31" i="5" s="1"/>
  <c r="Q29" i="5" l="1"/>
  <c r="O31" i="5"/>
  <c r="P31" i="5" s="1"/>
  <c r="L31" i="5"/>
  <c r="R31" i="5" s="1"/>
  <c r="O30" i="5"/>
  <c r="P30" i="5" s="1"/>
  <c r="L30" i="5"/>
  <c r="R30" i="5" s="1"/>
  <c r="E30" i="5"/>
  <c r="F30" i="5"/>
  <c r="C31" i="5"/>
  <c r="D31" i="5" s="1"/>
  <c r="G34" i="4"/>
  <c r="H34" i="4" s="1"/>
  <c r="I34" i="4"/>
  <c r="A35" i="4"/>
  <c r="B34" i="4"/>
  <c r="C33" i="4"/>
  <c r="D33" i="4" s="1"/>
  <c r="F33" i="4" s="1"/>
  <c r="E33" i="4" s="1"/>
  <c r="G29" i="5"/>
  <c r="G27" i="5"/>
  <c r="I32" i="5"/>
  <c r="A32" i="5"/>
  <c r="B32" i="5" s="1"/>
  <c r="Q30" i="5" l="1"/>
  <c r="S30" i="5" s="1"/>
  <c r="U30" i="5" s="1"/>
  <c r="O32" i="5"/>
  <c r="P32" i="5" s="1"/>
  <c r="L32" i="5"/>
  <c r="R32" i="5" s="1"/>
  <c r="G30" i="5"/>
  <c r="Q31" i="5"/>
  <c r="S31" i="5" s="1"/>
  <c r="U31" i="5" s="1"/>
  <c r="E31" i="5"/>
  <c r="F31" i="5"/>
  <c r="S29" i="5"/>
  <c r="U29" i="5" s="1"/>
  <c r="C32" i="5"/>
  <c r="D32" i="5" s="1"/>
  <c r="S27" i="5"/>
  <c r="U27" i="5" s="1"/>
  <c r="B35" i="4"/>
  <c r="A36" i="4"/>
  <c r="G35" i="4"/>
  <c r="H35" i="4" s="1"/>
  <c r="I35" i="4"/>
  <c r="C34" i="4"/>
  <c r="D34" i="4" s="1"/>
  <c r="F34" i="4" s="1"/>
  <c r="E34" i="4" s="1"/>
  <c r="S28" i="5"/>
  <c r="U28" i="5" s="1"/>
  <c r="I33" i="5"/>
  <c r="A33" i="5"/>
  <c r="B33" i="5" s="1"/>
  <c r="Q32" i="5" l="1"/>
  <c r="O33" i="5"/>
  <c r="P33" i="5" s="1"/>
  <c r="L33" i="5"/>
  <c r="R33" i="5" s="1"/>
  <c r="G31" i="5"/>
  <c r="E32" i="5"/>
  <c r="F32" i="5"/>
  <c r="C33" i="5"/>
  <c r="D33" i="5" s="1"/>
  <c r="A37" i="4"/>
  <c r="B36" i="4"/>
  <c r="I36" i="4"/>
  <c r="G36" i="4"/>
  <c r="H36" i="4" s="1"/>
  <c r="C35" i="4"/>
  <c r="D35" i="4" s="1"/>
  <c r="F35" i="4" s="1"/>
  <c r="E35" i="4" s="1"/>
  <c r="I34" i="5"/>
  <c r="A34" i="5"/>
  <c r="B34" i="5" s="1"/>
  <c r="G32" i="5" l="1"/>
  <c r="Q33" i="5"/>
  <c r="O34" i="5"/>
  <c r="P34" i="5" s="1"/>
  <c r="L34" i="5"/>
  <c r="R34" i="5" s="1"/>
  <c r="F33" i="5"/>
  <c r="C34" i="5"/>
  <c r="D34" i="5" s="1"/>
  <c r="C36" i="4"/>
  <c r="D36" i="4" s="1"/>
  <c r="F36" i="4" s="1"/>
  <c r="E36" i="4" s="1"/>
  <c r="B37" i="4"/>
  <c r="A38" i="4"/>
  <c r="I37" i="4"/>
  <c r="G37" i="4"/>
  <c r="H37" i="4" s="1"/>
  <c r="S32" i="5"/>
  <c r="U32" i="5" s="1"/>
  <c r="E33" i="5"/>
  <c r="I35" i="5"/>
  <c r="A35" i="5"/>
  <c r="B35" i="5" s="1"/>
  <c r="Q34" i="5" l="1"/>
  <c r="O35" i="5"/>
  <c r="P35" i="5" s="1"/>
  <c r="L35" i="5"/>
  <c r="R35" i="5" s="1"/>
  <c r="E34" i="5"/>
  <c r="F34" i="5"/>
  <c r="C35" i="5"/>
  <c r="D35" i="5" s="1"/>
  <c r="C37" i="4"/>
  <c r="D37" i="4" s="1"/>
  <c r="F37" i="4" s="1"/>
  <c r="E37" i="4" s="1"/>
  <c r="I38" i="4"/>
  <c r="G38" i="4"/>
  <c r="H38" i="4" s="1"/>
  <c r="A39" i="4"/>
  <c r="B38" i="4"/>
  <c r="S33" i="5"/>
  <c r="U33" i="5" s="1"/>
  <c r="G33" i="5"/>
  <c r="I36" i="5"/>
  <c r="A36" i="5"/>
  <c r="B36" i="5" s="1"/>
  <c r="O36" i="5" l="1"/>
  <c r="P36" i="5" s="1"/>
  <c r="L36" i="5"/>
  <c r="R36" i="5" s="1"/>
  <c r="G34" i="5"/>
  <c r="Q35" i="5"/>
  <c r="F35" i="5"/>
  <c r="C36" i="5"/>
  <c r="D36" i="5" s="1"/>
  <c r="B39" i="4"/>
  <c r="G39" i="4"/>
  <c r="H39" i="4" s="1"/>
  <c r="A40" i="4"/>
  <c r="I39" i="4"/>
  <c r="C38" i="4"/>
  <c r="D38" i="4" s="1"/>
  <c r="F38" i="4" s="1"/>
  <c r="E38" i="4" s="1"/>
  <c r="S34" i="5"/>
  <c r="U34" i="5" s="1"/>
  <c r="E35" i="5"/>
  <c r="I37" i="5"/>
  <c r="A37" i="5"/>
  <c r="B37" i="5" s="1"/>
  <c r="Q36" i="5" l="1"/>
  <c r="O37" i="5"/>
  <c r="P37" i="5" s="1"/>
  <c r="L37" i="5"/>
  <c r="R37" i="5" s="1"/>
  <c r="E36" i="5"/>
  <c r="F36" i="5"/>
  <c r="C39" i="4"/>
  <c r="D39" i="4" s="1"/>
  <c r="F39" i="4" s="1"/>
  <c r="E39" i="4" s="1"/>
  <c r="C37" i="5"/>
  <c r="D37" i="5" s="1"/>
  <c r="A41" i="4"/>
  <c r="G40" i="4"/>
  <c r="H40" i="4" s="1"/>
  <c r="B40" i="4"/>
  <c r="I40" i="4"/>
  <c r="S35" i="5"/>
  <c r="U35" i="5" s="1"/>
  <c r="G35" i="5"/>
  <c r="I38" i="5"/>
  <c r="A38" i="5"/>
  <c r="B38" i="5" s="1"/>
  <c r="Q37" i="5" l="1"/>
  <c r="G36" i="5"/>
  <c r="O38" i="5"/>
  <c r="P38" i="5" s="1"/>
  <c r="L38" i="5"/>
  <c r="R38" i="5" s="1"/>
  <c r="E37" i="5"/>
  <c r="F37" i="5"/>
  <c r="C38" i="5"/>
  <c r="D38" i="5" s="1"/>
  <c r="C40" i="4"/>
  <c r="D40" i="4" s="1"/>
  <c r="F40" i="4" s="1"/>
  <c r="E40" i="4" s="1"/>
  <c r="B41" i="4"/>
  <c r="A42" i="4"/>
  <c r="I41" i="4"/>
  <c r="G41" i="4"/>
  <c r="H41" i="4" s="1"/>
  <c r="S36" i="5"/>
  <c r="U36" i="5" s="1"/>
  <c r="I39" i="5"/>
  <c r="A39" i="5"/>
  <c r="B39" i="5" s="1"/>
  <c r="Q38" i="5" l="1"/>
  <c r="O39" i="5"/>
  <c r="P39" i="5" s="1"/>
  <c r="L39" i="5"/>
  <c r="R39" i="5" s="1"/>
  <c r="G37" i="5"/>
  <c r="F38" i="5"/>
  <c r="C41" i="4"/>
  <c r="D41" i="4" s="1"/>
  <c r="F41" i="4" s="1"/>
  <c r="E41" i="4" s="1"/>
  <c r="C39" i="5"/>
  <c r="D39" i="5" s="1"/>
  <c r="A43" i="4"/>
  <c r="B42" i="4"/>
  <c r="I42" i="4"/>
  <c r="G42" i="4"/>
  <c r="H42" i="4" s="1"/>
  <c r="S37" i="5"/>
  <c r="U37" i="5" s="1"/>
  <c r="E38" i="5"/>
  <c r="I40" i="5"/>
  <c r="A40" i="5"/>
  <c r="B40" i="5" s="1"/>
  <c r="Q39" i="5" l="1"/>
  <c r="O40" i="5"/>
  <c r="P40" i="5" s="1"/>
  <c r="L40" i="5"/>
  <c r="R40" i="5" s="1"/>
  <c r="E39" i="5"/>
  <c r="F39" i="5"/>
  <c r="C40" i="5"/>
  <c r="D40" i="5" s="1"/>
  <c r="C42" i="4"/>
  <c r="D42" i="4" s="1"/>
  <c r="F42" i="4" s="1"/>
  <c r="E42" i="4" s="1"/>
  <c r="B43" i="4"/>
  <c r="I43" i="4"/>
  <c r="A44" i="4"/>
  <c r="G43" i="4"/>
  <c r="H43" i="4" s="1"/>
  <c r="S38" i="5"/>
  <c r="U38" i="5" s="1"/>
  <c r="G38" i="5"/>
  <c r="I41" i="5"/>
  <c r="A41" i="5"/>
  <c r="B41" i="5" s="1"/>
  <c r="C4" i="3"/>
  <c r="F4" i="3"/>
  <c r="F6" i="3"/>
  <c r="B6" i="3"/>
  <c r="D6" i="3" s="1"/>
  <c r="B4" i="3"/>
  <c r="A6" i="3"/>
  <c r="A7" i="3" s="1"/>
  <c r="E7" i="3" s="1"/>
  <c r="Q40" i="5" l="1"/>
  <c r="G39" i="5"/>
  <c r="O41" i="5"/>
  <c r="P41" i="5" s="1"/>
  <c r="L41" i="5"/>
  <c r="R41" i="5" s="1"/>
  <c r="E40" i="5"/>
  <c r="F40" i="5"/>
  <c r="C43" i="4"/>
  <c r="D43" i="4" s="1"/>
  <c r="F43" i="4" s="1"/>
  <c r="E43" i="4" s="1"/>
  <c r="F7" i="3"/>
  <c r="C6" i="3"/>
  <c r="C41" i="5"/>
  <c r="D41" i="5" s="1"/>
  <c r="G44" i="4"/>
  <c r="H44" i="4" s="1"/>
  <c r="A45" i="4"/>
  <c r="I44" i="4"/>
  <c r="B44" i="4"/>
  <c r="S39" i="5"/>
  <c r="U39" i="5" s="1"/>
  <c r="A42" i="5"/>
  <c r="B42" i="5" s="1"/>
  <c r="A8" i="3"/>
  <c r="B7" i="3"/>
  <c r="Q41" i="5" l="1"/>
  <c r="G40" i="5"/>
  <c r="F41" i="5"/>
  <c r="C44" i="4"/>
  <c r="D44" i="4" s="1"/>
  <c r="F44" i="4" s="1"/>
  <c r="E44" i="4" s="1"/>
  <c r="E8" i="3"/>
  <c r="F8" i="3"/>
  <c r="D7" i="3"/>
  <c r="C7" i="3"/>
  <c r="C42" i="5"/>
  <c r="D42" i="5" s="1"/>
  <c r="B45" i="4"/>
  <c r="A46" i="4"/>
  <c r="I45" i="4"/>
  <c r="G45" i="4"/>
  <c r="H45" i="4" s="1"/>
  <c r="S40" i="5"/>
  <c r="U40" i="5" s="1"/>
  <c r="E41" i="5"/>
  <c r="A43" i="5"/>
  <c r="B43" i="5" s="1"/>
  <c r="A9" i="3"/>
  <c r="B8" i="3"/>
  <c r="L22" i="1"/>
  <c r="L21" i="1"/>
  <c r="L20" i="1"/>
  <c r="L19" i="1"/>
  <c r="L18" i="1"/>
  <c r="M18" i="1" s="1"/>
  <c r="D22" i="1"/>
  <c r="B22" i="1"/>
  <c r="D21" i="1"/>
  <c r="B21" i="1"/>
  <c r="D20" i="1"/>
  <c r="B20" i="1"/>
  <c r="D19" i="1"/>
  <c r="B19" i="1"/>
  <c r="D18" i="1"/>
  <c r="B18" i="1"/>
  <c r="L17" i="1"/>
  <c r="L16" i="1"/>
  <c r="L15" i="1"/>
  <c r="M15" i="1" s="1"/>
  <c r="L14" i="1"/>
  <c r="M14" i="1" s="1"/>
  <c r="L13" i="1"/>
  <c r="D16" i="1"/>
  <c r="B16" i="1"/>
  <c r="D15" i="1"/>
  <c r="B15" i="1"/>
  <c r="D14" i="1"/>
  <c r="N14" i="1" s="1"/>
  <c r="O14" i="1" s="1"/>
  <c r="B14" i="1"/>
  <c r="L12" i="1"/>
  <c r="L11" i="1"/>
  <c r="M11" i="1" s="1"/>
  <c r="L8" i="1"/>
  <c r="L7" i="1"/>
  <c r="E12" i="1"/>
  <c r="E11" i="1"/>
  <c r="E10" i="1"/>
  <c r="F10" i="1" s="1"/>
  <c r="G10" i="1" s="1"/>
  <c r="E9" i="1"/>
  <c r="F9" i="1" s="1"/>
  <c r="G9" i="1" s="1"/>
  <c r="E8" i="1"/>
  <c r="E7" i="1"/>
  <c r="D12" i="1"/>
  <c r="B12" i="1"/>
  <c r="D11" i="1"/>
  <c r="B11" i="1"/>
  <c r="D10" i="1"/>
  <c r="B10" i="1"/>
  <c r="D9" i="1"/>
  <c r="B9" i="1"/>
  <c r="D8" i="1"/>
  <c r="B8" i="1"/>
  <c r="M1" i="1"/>
  <c r="M12" i="1" s="1"/>
  <c r="F42" i="5" l="1"/>
  <c r="D8" i="3"/>
  <c r="C8" i="3"/>
  <c r="E9" i="3"/>
  <c r="F9" i="3"/>
  <c r="L43" i="5"/>
  <c r="R43" i="5" s="1"/>
  <c r="C43" i="5"/>
  <c r="D43" i="5" s="1"/>
  <c r="I46" i="4"/>
  <c r="A47" i="4"/>
  <c r="G46" i="4"/>
  <c r="H46" i="4" s="1"/>
  <c r="B46" i="4"/>
  <c r="C45" i="4"/>
  <c r="D45" i="4" s="1"/>
  <c r="F45" i="4" s="1"/>
  <c r="E45" i="4" s="1"/>
  <c r="N11" i="1"/>
  <c r="O11" i="1" s="1"/>
  <c r="M20" i="1"/>
  <c r="J10" i="1"/>
  <c r="J22" i="1"/>
  <c r="F19" i="1"/>
  <c r="G19" i="1" s="1"/>
  <c r="J7" i="1"/>
  <c r="F16" i="1"/>
  <c r="G16" i="1" s="1"/>
  <c r="M21" i="1"/>
  <c r="J14" i="1"/>
  <c r="F11" i="1"/>
  <c r="G11" i="1" s="1"/>
  <c r="J11" i="1"/>
  <c r="J15" i="1"/>
  <c r="F8" i="1"/>
  <c r="G8" i="1" s="1"/>
  <c r="F12" i="1"/>
  <c r="G12" i="1" s="1"/>
  <c r="F20" i="1"/>
  <c r="G20" i="1" s="1"/>
  <c r="L9" i="1"/>
  <c r="M9" i="1" s="1"/>
  <c r="M16" i="1"/>
  <c r="M19" i="1"/>
  <c r="J8" i="1"/>
  <c r="J12" i="1"/>
  <c r="J16" i="1"/>
  <c r="J20" i="1"/>
  <c r="F13" i="1"/>
  <c r="G13" i="1" s="1"/>
  <c r="F17" i="1"/>
  <c r="G17" i="1" s="1"/>
  <c r="F21" i="1"/>
  <c r="G21" i="1" s="1"/>
  <c r="M13" i="1"/>
  <c r="F7" i="1"/>
  <c r="G7" i="1" s="1"/>
  <c r="J18" i="1"/>
  <c r="F15" i="1"/>
  <c r="G15" i="1" s="1"/>
  <c r="M17" i="1"/>
  <c r="J19" i="1"/>
  <c r="L10" i="1"/>
  <c r="M22" i="1"/>
  <c r="J9" i="1"/>
  <c r="J13" i="1"/>
  <c r="J17" i="1"/>
  <c r="J21" i="1"/>
  <c r="F14" i="1"/>
  <c r="G14" i="1" s="1"/>
  <c r="F18" i="1"/>
  <c r="G18" i="1" s="1"/>
  <c r="F22" i="1"/>
  <c r="G22" i="1" s="1"/>
  <c r="S41" i="5"/>
  <c r="U41" i="5" s="1"/>
  <c r="G41" i="5"/>
  <c r="E42" i="5"/>
  <c r="A44" i="5"/>
  <c r="B44" i="5" s="1"/>
  <c r="A10" i="3"/>
  <c r="B9" i="3"/>
  <c r="N19" i="1"/>
  <c r="O19" i="1" s="1"/>
  <c r="N18" i="1"/>
  <c r="O18" i="1" s="1"/>
  <c r="N22" i="1"/>
  <c r="O22" i="1" s="1"/>
  <c r="N16" i="1"/>
  <c r="O16" i="1" s="1"/>
  <c r="N15" i="1"/>
  <c r="O15" i="1" s="1"/>
  <c r="N12" i="1"/>
  <c r="O12" i="1" s="1"/>
  <c r="M8" i="1"/>
  <c r="M10" i="1"/>
  <c r="M7" i="1"/>
  <c r="B17" i="1"/>
  <c r="B13" i="1"/>
  <c r="B7" i="1"/>
  <c r="D17" i="1"/>
  <c r="N17" i="1" s="1"/>
  <c r="O17" i="1" s="1"/>
  <c r="D13" i="1"/>
  <c r="N13" i="1" s="1"/>
  <c r="O13" i="1" s="1"/>
  <c r="D7" i="1"/>
  <c r="C46" i="4" l="1"/>
  <c r="D46" i="4" s="1"/>
  <c r="F46" i="4" s="1"/>
  <c r="E46" i="4" s="1"/>
  <c r="E43" i="5"/>
  <c r="F43" i="5"/>
  <c r="D9" i="3"/>
  <c r="C9" i="3"/>
  <c r="E10" i="3"/>
  <c r="F10" i="3"/>
  <c r="Q43" i="5"/>
  <c r="L44" i="5"/>
  <c r="R44" i="5" s="1"/>
  <c r="C44" i="5"/>
  <c r="D44" i="5" s="1"/>
  <c r="B47" i="4"/>
  <c r="I47" i="4"/>
  <c r="A48" i="4"/>
  <c r="G47" i="4"/>
  <c r="H47" i="4" s="1"/>
  <c r="N20" i="1"/>
  <c r="O20" i="1" s="1"/>
  <c r="N21" i="1"/>
  <c r="O21" i="1" s="1"/>
  <c r="S42" i="5"/>
  <c r="U42" i="5" s="1"/>
  <c r="G42" i="5"/>
  <c r="A45" i="5"/>
  <c r="B45" i="5" s="1"/>
  <c r="A11" i="3"/>
  <c r="B10" i="3"/>
  <c r="N8" i="1"/>
  <c r="O8" i="1" s="1"/>
  <c r="N10" i="1"/>
  <c r="O10" i="1" s="1"/>
  <c r="N9" i="1"/>
  <c r="O9" i="1" s="1"/>
  <c r="N7" i="1"/>
  <c r="O7" i="1" s="1"/>
  <c r="G43" i="5" l="1"/>
  <c r="F44" i="5"/>
  <c r="D10" i="3"/>
  <c r="C10" i="3"/>
  <c r="E11" i="3"/>
  <c r="F11" i="3"/>
  <c r="Q44" i="5"/>
  <c r="L45" i="5"/>
  <c r="R45" i="5" s="1"/>
  <c r="C45" i="5"/>
  <c r="D45" i="5" s="1"/>
  <c r="C47" i="4"/>
  <c r="D47" i="4" s="1"/>
  <c r="F47" i="4" s="1"/>
  <c r="E47" i="4" s="1"/>
  <c r="G48" i="4"/>
  <c r="H48" i="4" s="1"/>
  <c r="A49" i="4"/>
  <c r="I48" i="4"/>
  <c r="B48" i="4"/>
  <c r="S43" i="5"/>
  <c r="U43" i="5" s="1"/>
  <c r="E44" i="5"/>
  <c r="A46" i="5"/>
  <c r="B46" i="5" s="1"/>
  <c r="A12" i="3"/>
  <c r="B11" i="3"/>
  <c r="F45" i="5" l="1"/>
  <c r="C48" i="4"/>
  <c r="D48" i="4" s="1"/>
  <c r="F48" i="4" s="1"/>
  <c r="E48" i="4" s="1"/>
  <c r="D11" i="3"/>
  <c r="C11" i="3"/>
  <c r="E12" i="3"/>
  <c r="F12" i="3"/>
  <c r="Q45" i="5"/>
  <c r="L46" i="5"/>
  <c r="R46" i="5" s="1"/>
  <c r="C46" i="5"/>
  <c r="D46" i="5" s="1"/>
  <c r="B49" i="4"/>
  <c r="G49" i="4"/>
  <c r="H49" i="4" s="1"/>
  <c r="A50" i="4"/>
  <c r="I49" i="4"/>
  <c r="S44" i="5"/>
  <c r="U44" i="5" s="1"/>
  <c r="G44" i="5"/>
  <c r="E45" i="5"/>
  <c r="A47" i="5"/>
  <c r="B47" i="5" s="1"/>
  <c r="A13" i="3"/>
  <c r="B12" i="3"/>
  <c r="E46" i="5" l="1"/>
  <c r="F46" i="5"/>
  <c r="C49" i="4"/>
  <c r="D49" i="4" s="1"/>
  <c r="D12" i="3"/>
  <c r="C12" i="3"/>
  <c r="E13" i="3"/>
  <c r="F13" i="3"/>
  <c r="Q46" i="5"/>
  <c r="L47" i="5"/>
  <c r="R47" i="5" s="1"/>
  <c r="C47" i="5"/>
  <c r="D47" i="5" s="1"/>
  <c r="I50" i="4"/>
  <c r="A51" i="4"/>
  <c r="G50" i="4"/>
  <c r="H50" i="4" s="1"/>
  <c r="B50" i="4"/>
  <c r="F49" i="4"/>
  <c r="E49" i="4" s="1"/>
  <c r="S45" i="5"/>
  <c r="U45" i="5" s="1"/>
  <c r="G45" i="5"/>
  <c r="A48" i="5"/>
  <c r="B48" i="5" s="1"/>
  <c r="A14" i="3"/>
  <c r="B13" i="3"/>
  <c r="C50" i="4" l="1"/>
  <c r="D50" i="4" s="1"/>
  <c r="F50" i="4" s="1"/>
  <c r="E50" i="4" s="1"/>
  <c r="G46" i="5"/>
  <c r="O48" i="5"/>
  <c r="P48" i="5" s="1"/>
  <c r="F47" i="5"/>
  <c r="D13" i="3"/>
  <c r="C13" i="3"/>
  <c r="E14" i="3"/>
  <c r="F14" i="3"/>
  <c r="Q47" i="5"/>
  <c r="L48" i="5"/>
  <c r="R48" i="5" s="1"/>
  <c r="C48" i="5"/>
  <c r="D48" i="5" s="1"/>
  <c r="B51" i="4"/>
  <c r="I51" i="4"/>
  <c r="A52" i="4"/>
  <c r="G51" i="4"/>
  <c r="H51" i="4" s="1"/>
  <c r="S46" i="5"/>
  <c r="U46" i="5" s="1"/>
  <c r="E47" i="5"/>
  <c r="A49" i="5"/>
  <c r="B49" i="5" s="1"/>
  <c r="A15" i="3"/>
  <c r="B14" i="3"/>
  <c r="O49" i="5" l="1"/>
  <c r="P49" i="5" s="1"/>
  <c r="E48" i="5"/>
  <c r="F48" i="5"/>
  <c r="D14" i="3"/>
  <c r="C14" i="3"/>
  <c r="E15" i="3"/>
  <c r="F15" i="3"/>
  <c r="Q48" i="5"/>
  <c r="L49" i="5"/>
  <c r="R49" i="5" s="1"/>
  <c r="C49" i="5"/>
  <c r="D49" i="5" s="1"/>
  <c r="G52" i="4"/>
  <c r="H52" i="4" s="1"/>
  <c r="A53" i="4"/>
  <c r="I52" i="4"/>
  <c r="B52" i="4"/>
  <c r="C51" i="4"/>
  <c r="D51" i="4" s="1"/>
  <c r="F51" i="4" s="1"/>
  <c r="E51" i="4" s="1"/>
  <c r="S47" i="5"/>
  <c r="U47" i="5" s="1"/>
  <c r="G47" i="5"/>
  <c r="A50" i="5"/>
  <c r="B50" i="5" s="1"/>
  <c r="A16" i="3"/>
  <c r="B15" i="3"/>
  <c r="O50" i="5" l="1"/>
  <c r="P50" i="5" s="1"/>
  <c r="F49" i="5"/>
  <c r="D15" i="3"/>
  <c r="C15" i="3"/>
  <c r="E16" i="3"/>
  <c r="F16" i="3"/>
  <c r="Q49" i="5"/>
  <c r="L50" i="5"/>
  <c r="R50" i="5" s="1"/>
  <c r="C50" i="5"/>
  <c r="D50" i="5" s="1"/>
  <c r="C52" i="4"/>
  <c r="D52" i="4" s="1"/>
  <c r="F52" i="4" s="1"/>
  <c r="E52" i="4" s="1"/>
  <c r="B53" i="4"/>
  <c r="A54" i="4"/>
  <c r="I53" i="4"/>
  <c r="G53" i="4"/>
  <c r="H53" i="4" s="1"/>
  <c r="S48" i="5"/>
  <c r="U48" i="5" s="1"/>
  <c r="G48" i="5"/>
  <c r="E49" i="5"/>
  <c r="A51" i="5"/>
  <c r="B51" i="5" s="1"/>
  <c r="A17" i="3"/>
  <c r="B16" i="3"/>
  <c r="Q50" i="5" l="1"/>
  <c r="F50" i="5"/>
  <c r="D16" i="3"/>
  <c r="C16" i="3"/>
  <c r="E17" i="3"/>
  <c r="F17" i="3"/>
  <c r="L51" i="5"/>
  <c r="R51" i="5" s="1"/>
  <c r="C51" i="5"/>
  <c r="D51" i="5" s="1"/>
  <c r="G54" i="4"/>
  <c r="H54" i="4" s="1"/>
  <c r="I54" i="4"/>
  <c r="A55" i="4"/>
  <c r="B54" i="4"/>
  <c r="C53" i="4"/>
  <c r="D53" i="4" s="1"/>
  <c r="F53" i="4" s="1"/>
  <c r="E53" i="4" s="1"/>
  <c r="S49" i="5"/>
  <c r="U49" i="5" s="1"/>
  <c r="E50" i="5"/>
  <c r="G49" i="5"/>
  <c r="A52" i="5"/>
  <c r="B52" i="5" s="1"/>
  <c r="A18" i="3"/>
  <c r="B17" i="3"/>
  <c r="C54" i="4" l="1"/>
  <c r="D54" i="4" s="1"/>
  <c r="F54" i="4" s="1"/>
  <c r="E54" i="4" s="1"/>
  <c r="O52" i="5"/>
  <c r="P52" i="5" s="1"/>
  <c r="E51" i="5"/>
  <c r="F51" i="5"/>
  <c r="D17" i="3"/>
  <c r="C17" i="3"/>
  <c r="E18" i="3"/>
  <c r="F18" i="3"/>
  <c r="Q51" i="5"/>
  <c r="L52" i="5"/>
  <c r="R52" i="5" s="1"/>
  <c r="C52" i="5"/>
  <c r="D52" i="5" s="1"/>
  <c r="B55" i="4"/>
  <c r="I55" i="4"/>
  <c r="A56" i="4"/>
  <c r="G55" i="4"/>
  <c r="H55" i="4" s="1"/>
  <c r="S50" i="5"/>
  <c r="U50" i="5" s="1"/>
  <c r="G50" i="5"/>
  <c r="A53" i="5"/>
  <c r="B53" i="5" s="1"/>
  <c r="A19" i="3"/>
  <c r="B18" i="3"/>
  <c r="G51" i="5" l="1"/>
  <c r="F52" i="5"/>
  <c r="E19" i="3"/>
  <c r="F19" i="3"/>
  <c r="D18" i="3"/>
  <c r="C18" i="3"/>
  <c r="L53" i="5"/>
  <c r="R53" i="5" s="1"/>
  <c r="Q52" i="5"/>
  <c r="C53" i="5"/>
  <c r="D53" i="5" s="1"/>
  <c r="C55" i="4"/>
  <c r="D55" i="4" s="1"/>
  <c r="F55" i="4" s="1"/>
  <c r="E55" i="4" s="1"/>
  <c r="A57" i="4"/>
  <c r="I56" i="4"/>
  <c r="G56" i="4"/>
  <c r="H56" i="4" s="1"/>
  <c r="B56" i="4"/>
  <c r="S51" i="5"/>
  <c r="U51" i="5" s="1"/>
  <c r="E52" i="5"/>
  <c r="A54" i="5"/>
  <c r="B54" i="5" s="1"/>
  <c r="A20" i="3"/>
  <c r="B19" i="3"/>
  <c r="F53" i="5" l="1"/>
  <c r="D19" i="3"/>
  <c r="C19" i="3"/>
  <c r="E20" i="3"/>
  <c r="F20" i="3"/>
  <c r="Q53" i="5"/>
  <c r="L54" i="5"/>
  <c r="R54" i="5" s="1"/>
  <c r="C54" i="5"/>
  <c r="D54" i="5" s="1"/>
  <c r="B57" i="4"/>
  <c r="A58" i="4"/>
  <c r="G57" i="4"/>
  <c r="H57" i="4" s="1"/>
  <c r="I57" i="4"/>
  <c r="C56" i="4"/>
  <c r="D56" i="4" s="1"/>
  <c r="F56" i="4" s="1"/>
  <c r="E56" i="4" s="1"/>
  <c r="S52" i="5"/>
  <c r="U52" i="5" s="1"/>
  <c r="G52" i="5"/>
  <c r="E53" i="5"/>
  <c r="A55" i="5"/>
  <c r="B55" i="5" s="1"/>
  <c r="A21" i="3"/>
  <c r="B20" i="3"/>
  <c r="F54" i="5" l="1"/>
  <c r="C57" i="4"/>
  <c r="D57" i="4" s="1"/>
  <c r="F57" i="4" s="1"/>
  <c r="E57" i="4" s="1"/>
  <c r="E21" i="3"/>
  <c r="F21" i="3"/>
  <c r="D20" i="3"/>
  <c r="C20" i="3"/>
  <c r="Q54" i="5"/>
  <c r="L55" i="5"/>
  <c r="R55" i="5" s="1"/>
  <c r="C55" i="5"/>
  <c r="D55" i="5" s="1"/>
  <c r="A59" i="4"/>
  <c r="B58" i="4"/>
  <c r="I58" i="4"/>
  <c r="G58" i="4"/>
  <c r="H58" i="4" s="1"/>
  <c r="S53" i="5"/>
  <c r="U53" i="5" s="1"/>
  <c r="E54" i="5"/>
  <c r="G53" i="5"/>
  <c r="A22" i="3"/>
  <c r="B21" i="3"/>
  <c r="O56" i="5" l="1"/>
  <c r="P56" i="5" s="1"/>
  <c r="F55" i="5"/>
  <c r="E22" i="3"/>
  <c r="F22" i="3"/>
  <c r="D21" i="3"/>
  <c r="C21" i="3"/>
  <c r="Q55" i="5"/>
  <c r="L56" i="5"/>
  <c r="R56" i="5" s="1"/>
  <c r="C56" i="5"/>
  <c r="D56" i="5" s="1"/>
  <c r="C58" i="4"/>
  <c r="D58" i="4" s="1"/>
  <c r="F58" i="4" s="1"/>
  <c r="E58" i="4" s="1"/>
  <c r="B59" i="4"/>
  <c r="G59" i="4"/>
  <c r="H59" i="4" s="1"/>
  <c r="A60" i="4"/>
  <c r="I59" i="4"/>
  <c r="S54" i="5"/>
  <c r="U54" i="5" s="1"/>
  <c r="E55" i="5"/>
  <c r="G54" i="5"/>
  <c r="A23" i="3"/>
  <c r="B22" i="3"/>
  <c r="O57" i="5" l="1"/>
  <c r="P57" i="5" s="1"/>
  <c r="Q56" i="5"/>
  <c r="C59" i="4"/>
  <c r="D59" i="4" s="1"/>
  <c r="F59" i="4" s="1"/>
  <c r="E59" i="4" s="1"/>
  <c r="E23" i="3"/>
  <c r="F23" i="3"/>
  <c r="D22" i="3"/>
  <c r="C22" i="3"/>
  <c r="E56" i="5"/>
  <c r="F56" i="5"/>
  <c r="L57" i="5"/>
  <c r="R57" i="5" s="1"/>
  <c r="I60" i="4"/>
  <c r="A61" i="4"/>
  <c r="G60" i="4"/>
  <c r="H60" i="4" s="1"/>
  <c r="B60" i="4"/>
  <c r="S55" i="5"/>
  <c r="U55" i="5" s="1"/>
  <c r="G55" i="5"/>
  <c r="A24" i="3"/>
  <c r="B23" i="3"/>
  <c r="C60" i="4" l="1"/>
  <c r="D60" i="4" s="1"/>
  <c r="F60" i="4" s="1"/>
  <c r="E60" i="4" s="1"/>
  <c r="O58" i="5"/>
  <c r="P58" i="5" s="1"/>
  <c r="E24" i="3"/>
  <c r="F24" i="3"/>
  <c r="D23" i="3"/>
  <c r="C23" i="3"/>
  <c r="Q57" i="5"/>
  <c r="L58" i="5"/>
  <c r="R58" i="5" s="1"/>
  <c r="B61" i="4"/>
  <c r="A62" i="4"/>
  <c r="I61" i="4"/>
  <c r="G61" i="4"/>
  <c r="H61" i="4" s="1"/>
  <c r="S56" i="5"/>
  <c r="U56" i="5" s="1"/>
  <c r="G56" i="5"/>
  <c r="O59" i="5"/>
  <c r="P59" i="5" s="1"/>
  <c r="B24" i="3"/>
  <c r="A26" i="3"/>
  <c r="Q58" i="5" l="1"/>
  <c r="E26" i="3"/>
  <c r="F26" i="3"/>
  <c r="D24" i="3"/>
  <c r="C24" i="3"/>
  <c r="L59" i="5"/>
  <c r="R59" i="5" s="1"/>
  <c r="A63" i="4"/>
  <c r="G62" i="4"/>
  <c r="H62" i="4" s="1"/>
  <c r="B62" i="4"/>
  <c r="I62" i="4"/>
  <c r="C61" i="4"/>
  <c r="D61" i="4" s="1"/>
  <c r="F61" i="4" s="1"/>
  <c r="E61" i="4" s="1"/>
  <c r="S57" i="5"/>
  <c r="U57" i="5" s="1"/>
  <c r="B26" i="3"/>
  <c r="C62" i="4" l="1"/>
  <c r="D62" i="4" s="1"/>
  <c r="F62" i="4" s="1"/>
  <c r="E62" i="4" s="1"/>
  <c r="O60" i="5"/>
  <c r="P60" i="5" s="1"/>
  <c r="D26" i="3"/>
  <c r="C26" i="3"/>
  <c r="Q59" i="5"/>
  <c r="L60" i="5"/>
  <c r="R60" i="5" s="1"/>
  <c r="B63" i="4"/>
  <c r="A64" i="4"/>
  <c r="G63" i="4"/>
  <c r="H63" i="4" s="1"/>
  <c r="I63" i="4"/>
  <c r="S58" i="5"/>
  <c r="U58" i="5" s="1"/>
  <c r="O61" i="5"/>
  <c r="P61" i="5" s="1"/>
  <c r="C63" i="4" l="1"/>
  <c r="D63" i="4" s="1"/>
  <c r="F63" i="4" s="1"/>
  <c r="E63" i="4" s="1"/>
  <c r="Q60" i="5"/>
  <c r="L61" i="5"/>
  <c r="R61" i="5" s="1"/>
  <c r="G64" i="4"/>
  <c r="H64" i="4" s="1"/>
  <c r="I64" i="4"/>
  <c r="A65" i="4"/>
  <c r="B64" i="4"/>
  <c r="S59" i="5"/>
  <c r="U59" i="5" s="1"/>
  <c r="O62" i="5"/>
  <c r="P62" i="5" s="1"/>
  <c r="C64" i="4" l="1"/>
  <c r="D64" i="4" s="1"/>
  <c r="F64" i="4" s="1"/>
  <c r="E64" i="4" s="1"/>
  <c r="Q61" i="5"/>
  <c r="L62" i="5"/>
  <c r="R62" i="5" s="1"/>
  <c r="B65" i="4"/>
  <c r="A66" i="4"/>
  <c r="G65" i="4"/>
  <c r="H65" i="4" s="1"/>
  <c r="I65" i="4"/>
  <c r="S60" i="5"/>
  <c r="U60" i="5" s="1"/>
  <c r="C65" i="4" l="1"/>
  <c r="D65" i="4" s="1"/>
  <c r="Q62" i="5"/>
  <c r="L63" i="5"/>
  <c r="R63" i="5" s="1"/>
  <c r="A67" i="4"/>
  <c r="I66" i="4"/>
  <c r="B66" i="4"/>
  <c r="G66" i="4"/>
  <c r="H66" i="4" s="1"/>
  <c r="F65" i="4"/>
  <c r="E65" i="4" s="1"/>
  <c r="S61" i="5"/>
  <c r="U61" i="5" s="1"/>
  <c r="Q63" i="5" l="1"/>
  <c r="L64" i="5"/>
  <c r="R64" i="5" s="1"/>
  <c r="C66" i="4"/>
  <c r="D66" i="4" s="1"/>
  <c r="F66" i="4" s="1"/>
  <c r="E66" i="4" s="1"/>
  <c r="B67" i="4"/>
  <c r="A68" i="4"/>
  <c r="G67" i="4"/>
  <c r="H67" i="4" s="1"/>
  <c r="I67" i="4"/>
  <c r="S62" i="5"/>
  <c r="U62" i="5" s="1"/>
  <c r="O65" i="5"/>
  <c r="P65" i="5" s="1"/>
  <c r="Q64" i="5" l="1"/>
  <c r="L65" i="5"/>
  <c r="R65" i="5" s="1"/>
  <c r="C67" i="4"/>
  <c r="D67" i="4" s="1"/>
  <c r="F67" i="4" s="1"/>
  <c r="E67" i="4" s="1"/>
  <c r="G68" i="4"/>
  <c r="H68" i="4" s="1"/>
  <c r="I68" i="4"/>
  <c r="A69" i="4"/>
  <c r="B68" i="4"/>
  <c r="O66" i="5"/>
  <c r="P66" i="5" s="1"/>
  <c r="S63" i="5"/>
  <c r="U63" i="5" s="1"/>
  <c r="Q65" i="5" l="1"/>
  <c r="L66" i="5"/>
  <c r="R66" i="5" s="1"/>
  <c r="C68" i="4"/>
  <c r="D68" i="4" s="1"/>
  <c r="F68" i="4" s="1"/>
  <c r="E68" i="4" s="1"/>
  <c r="B69" i="4"/>
  <c r="A70" i="4"/>
  <c r="I69" i="4"/>
  <c r="G69" i="4"/>
  <c r="H69" i="4" s="1"/>
  <c r="O67" i="5"/>
  <c r="P67" i="5" s="1"/>
  <c r="S64" i="5"/>
  <c r="U64" i="5" s="1"/>
  <c r="Q66" i="5" l="1"/>
  <c r="S66" i="5" s="1"/>
  <c r="U66" i="5" s="1"/>
  <c r="L67" i="5"/>
  <c r="R67" i="5" s="1"/>
  <c r="A71" i="4"/>
  <c r="G70" i="4"/>
  <c r="H70" i="4" s="1"/>
  <c r="I70" i="4"/>
  <c r="B70" i="4"/>
  <c r="C69" i="4"/>
  <c r="D69" i="4" s="1"/>
  <c r="F69" i="4" s="1"/>
  <c r="E69" i="4" s="1"/>
  <c r="S65" i="5"/>
  <c r="U65" i="5" s="1"/>
  <c r="C70" i="4" l="1"/>
  <c r="D70" i="4" s="1"/>
  <c r="F70" i="4" s="1"/>
  <c r="E70" i="4" s="1"/>
  <c r="Q67" i="5"/>
  <c r="S67" i="5" s="1"/>
  <c r="U67" i="5" s="1"/>
  <c r="B71" i="4"/>
  <c r="A72" i="4"/>
  <c r="I71" i="4"/>
  <c r="G71" i="4"/>
  <c r="H71" i="4" s="1"/>
  <c r="C71" i="4" l="1"/>
  <c r="D71" i="4" s="1"/>
  <c r="F71" i="4" s="1"/>
  <c r="E71" i="4" s="1"/>
  <c r="I72" i="4"/>
  <c r="G72" i="4"/>
  <c r="H72" i="4" s="1"/>
  <c r="A73" i="4"/>
  <c r="B72" i="4"/>
  <c r="C72" i="4" l="1"/>
  <c r="D72" i="4" s="1"/>
  <c r="F72" i="4" s="1"/>
  <c r="E72" i="4" s="1"/>
  <c r="B73" i="4"/>
  <c r="G73" i="4"/>
  <c r="H73" i="4" s="1"/>
  <c r="A74" i="4"/>
  <c r="I73" i="4"/>
  <c r="C73" i="4" l="1"/>
  <c r="D73" i="4" s="1"/>
  <c r="A75" i="4"/>
  <c r="B74" i="4"/>
  <c r="G74" i="4"/>
  <c r="H74" i="4" s="1"/>
  <c r="I74" i="4"/>
  <c r="F73" i="4"/>
  <c r="E73" i="4" s="1"/>
  <c r="C74" i="4" l="1"/>
  <c r="D74" i="4" s="1"/>
  <c r="F74" i="4" s="1"/>
  <c r="E74" i="4" s="1"/>
  <c r="B75" i="4"/>
  <c r="A76" i="4"/>
  <c r="G75" i="4"/>
  <c r="H75" i="4" s="1"/>
  <c r="I75" i="4"/>
  <c r="C75" i="4" l="1"/>
  <c r="D75" i="4" s="1"/>
  <c r="F75" i="4" s="1"/>
  <c r="E75" i="4" s="1"/>
  <c r="I76" i="4"/>
  <c r="A77" i="4"/>
  <c r="B76" i="4"/>
  <c r="G76" i="4"/>
  <c r="H76" i="4" s="1"/>
  <c r="C76" i="4" l="1"/>
  <c r="D76" i="4" s="1"/>
  <c r="F76" i="4" s="1"/>
  <c r="E76" i="4" s="1"/>
  <c r="B77" i="4"/>
  <c r="I77" i="4"/>
  <c r="A78" i="4"/>
  <c r="G77" i="4"/>
  <c r="H77" i="4" s="1"/>
  <c r="G78" i="4" l="1"/>
  <c r="H78" i="4" s="1"/>
  <c r="A79" i="4"/>
  <c r="I78" i="4"/>
  <c r="B78" i="4"/>
  <c r="C78" i="4" s="1"/>
  <c r="D78" i="4" s="1"/>
  <c r="F78" i="4" s="1"/>
  <c r="E78" i="4" s="1"/>
  <c r="C77" i="4"/>
  <c r="D77" i="4" s="1"/>
  <c r="F77" i="4" s="1"/>
  <c r="E77" i="4" s="1"/>
  <c r="B79" i="4" l="1"/>
  <c r="G79" i="4"/>
  <c r="H79" i="4" s="1"/>
  <c r="A80" i="4"/>
  <c r="I79" i="4"/>
  <c r="C79" i="4" l="1"/>
  <c r="D79" i="4" s="1"/>
  <c r="F79" i="4" s="1"/>
  <c r="E79" i="4" s="1"/>
  <c r="I80" i="4"/>
  <c r="A81" i="4"/>
  <c r="G80" i="4"/>
  <c r="H80" i="4" s="1"/>
  <c r="B80" i="4"/>
  <c r="C80" i="4" l="1"/>
  <c r="D80" i="4" s="1"/>
  <c r="F80" i="4" s="1"/>
  <c r="E80" i="4" s="1"/>
  <c r="B81" i="4"/>
  <c r="I81" i="4"/>
  <c r="A82" i="4"/>
  <c r="G81" i="4"/>
  <c r="H81" i="4" s="1"/>
  <c r="C81" i="4" l="1"/>
  <c r="D81" i="4" s="1"/>
  <c r="G82" i="4"/>
  <c r="H82" i="4" s="1"/>
  <c r="A83" i="4"/>
  <c r="I82" i="4"/>
  <c r="B82" i="4"/>
  <c r="F81" i="4"/>
  <c r="E81" i="4" s="1"/>
  <c r="C82" i="4" l="1"/>
  <c r="D82" i="4" s="1"/>
  <c r="F82" i="4" s="1"/>
  <c r="E82" i="4" s="1"/>
  <c r="B83" i="4"/>
  <c r="G83" i="4"/>
  <c r="H83" i="4" s="1"/>
  <c r="A84" i="4"/>
  <c r="I83" i="4"/>
  <c r="I84" i="4" l="1"/>
  <c r="A85" i="4"/>
  <c r="G84" i="4"/>
  <c r="H84" i="4" s="1"/>
  <c r="B84" i="4"/>
  <c r="C84" i="4" s="1"/>
  <c r="D84" i="4" s="1"/>
  <c r="F84" i="4" s="1"/>
  <c r="E84" i="4" s="1"/>
  <c r="C83" i="4"/>
  <c r="D83" i="4" s="1"/>
  <c r="F83" i="4" s="1"/>
  <c r="E83" i="4" s="1"/>
  <c r="B85" i="4" l="1"/>
  <c r="I85" i="4"/>
  <c r="A86" i="4"/>
  <c r="G85" i="4"/>
  <c r="H85" i="4" s="1"/>
  <c r="A87" i="4" l="1"/>
  <c r="I86" i="4"/>
  <c r="B86" i="4"/>
  <c r="G86" i="4"/>
  <c r="H86" i="4" s="1"/>
  <c r="C85" i="4"/>
  <c r="D85" i="4" s="1"/>
  <c r="F85" i="4" s="1"/>
  <c r="E85" i="4" s="1"/>
  <c r="C86" i="4" l="1"/>
  <c r="D86" i="4" s="1"/>
  <c r="F86" i="4" s="1"/>
  <c r="E86" i="4" s="1"/>
  <c r="B87" i="4"/>
  <c r="A88" i="4"/>
  <c r="G87" i="4"/>
  <c r="H87" i="4" s="1"/>
  <c r="I87" i="4"/>
  <c r="G88" i="4" l="1"/>
  <c r="H88" i="4" s="1"/>
  <c r="I88" i="4"/>
  <c r="A89" i="4"/>
  <c r="B88" i="4"/>
  <c r="C87" i="4"/>
  <c r="D87" i="4" s="1"/>
  <c r="F87" i="4" s="1"/>
  <c r="E87" i="4" s="1"/>
  <c r="C88" i="4" l="1"/>
  <c r="D88" i="4" s="1"/>
  <c r="F88" i="4" s="1"/>
  <c r="E88" i="4" s="1"/>
  <c r="B89" i="4"/>
  <c r="I89" i="4"/>
  <c r="A90" i="4"/>
  <c r="G89" i="4"/>
  <c r="H89" i="4" s="1"/>
  <c r="C89" i="4" l="1"/>
  <c r="D89" i="4" s="1"/>
  <c r="F89" i="4" s="1"/>
  <c r="E89" i="4" s="1"/>
  <c r="A91" i="4"/>
  <c r="B90" i="4"/>
  <c r="G90" i="4"/>
  <c r="H90" i="4" s="1"/>
  <c r="I90" i="4"/>
  <c r="C90" i="4" l="1"/>
  <c r="D90" i="4" s="1"/>
  <c r="F90" i="4" s="1"/>
  <c r="E90" i="4" s="1"/>
  <c r="B91" i="4"/>
  <c r="A92" i="4"/>
  <c r="I91" i="4"/>
  <c r="G91" i="4"/>
  <c r="H91" i="4" s="1"/>
  <c r="C91" i="4" l="1"/>
  <c r="D91" i="4" s="1"/>
  <c r="F91" i="4" s="1"/>
  <c r="E91" i="4" s="1"/>
  <c r="G92" i="4"/>
  <c r="H92" i="4" s="1"/>
  <c r="A93" i="4"/>
  <c r="B92" i="4"/>
  <c r="I92" i="4"/>
  <c r="C92" i="4" l="1"/>
  <c r="D92" i="4" s="1"/>
  <c r="F92" i="4" s="1"/>
  <c r="E92" i="4" s="1"/>
  <c r="B93" i="4"/>
  <c r="A94" i="4"/>
  <c r="I93" i="4"/>
  <c r="G93" i="4"/>
  <c r="H93" i="4" s="1"/>
  <c r="C93" i="4" l="1"/>
  <c r="D93" i="4" s="1"/>
  <c r="F93" i="4" s="1"/>
  <c r="E93" i="4" s="1"/>
  <c r="G94" i="4"/>
  <c r="H94" i="4" s="1"/>
  <c r="I94" i="4"/>
  <c r="A95" i="4"/>
  <c r="B94" i="4"/>
  <c r="C94" i="4" l="1"/>
  <c r="D94" i="4" s="1"/>
  <c r="F94" i="4" s="1"/>
  <c r="E94" i="4" s="1"/>
  <c r="B95" i="4"/>
  <c r="A96" i="4"/>
  <c r="G95" i="4"/>
  <c r="H95" i="4" s="1"/>
  <c r="I95" i="4"/>
  <c r="C95" i="4" l="1"/>
  <c r="D95" i="4" s="1"/>
  <c r="F95" i="4" s="1"/>
  <c r="E95" i="4" s="1"/>
  <c r="A97" i="4"/>
  <c r="G96" i="4"/>
  <c r="H96" i="4" s="1"/>
  <c r="B96" i="4"/>
  <c r="I96" i="4"/>
  <c r="C96" i="4" l="1"/>
  <c r="D96" i="4" s="1"/>
  <c r="F96" i="4" s="1"/>
  <c r="E96" i="4" s="1"/>
  <c r="B97" i="4"/>
  <c r="A98" i="4"/>
  <c r="G97" i="4"/>
  <c r="H97" i="4" s="1"/>
  <c r="I97" i="4"/>
  <c r="G98" i="4" l="1"/>
  <c r="H98" i="4" s="1"/>
  <c r="I98" i="4"/>
  <c r="A99" i="4"/>
  <c r="B98" i="4"/>
  <c r="C97" i="4"/>
  <c r="D97" i="4" s="1"/>
  <c r="F97" i="4" s="1"/>
  <c r="E97" i="4" s="1"/>
  <c r="C98" i="4" l="1"/>
  <c r="D98" i="4" s="1"/>
  <c r="F98" i="4" s="1"/>
  <c r="E98" i="4" s="1"/>
  <c r="B99" i="4"/>
  <c r="A100" i="4"/>
  <c r="G99" i="4"/>
  <c r="H99" i="4" s="1"/>
  <c r="I99" i="4"/>
  <c r="C99" i="4" l="1"/>
  <c r="D99" i="4" s="1"/>
  <c r="F99" i="4" s="1"/>
  <c r="E99" i="4" s="1"/>
  <c r="A101" i="4"/>
  <c r="B100" i="4"/>
  <c r="G100" i="4"/>
  <c r="H100" i="4" s="1"/>
  <c r="I100" i="4"/>
  <c r="C100" i="4" l="1"/>
  <c r="D100" i="4" s="1"/>
  <c r="F100" i="4" s="1"/>
  <c r="E100" i="4" s="1"/>
  <c r="B101" i="4"/>
  <c r="A102" i="4"/>
  <c r="I101" i="4"/>
  <c r="G101" i="4"/>
  <c r="H101" i="4" s="1"/>
  <c r="C101" i="4" l="1"/>
  <c r="D101" i="4" s="1"/>
  <c r="F101" i="4" s="1"/>
  <c r="E101" i="4" s="1"/>
  <c r="I102" i="4"/>
  <c r="G102" i="4"/>
  <c r="H102" i="4" s="1"/>
  <c r="A103" i="4"/>
  <c r="B102" i="4"/>
  <c r="B103" i="4" l="1"/>
  <c r="G103" i="4"/>
  <c r="H103" i="4" s="1"/>
  <c r="A104" i="4"/>
  <c r="I103" i="4"/>
  <c r="C102" i="4"/>
  <c r="D102" i="4" s="1"/>
  <c r="F102" i="4" s="1"/>
  <c r="E102" i="4" s="1"/>
  <c r="C103" i="4" l="1"/>
  <c r="D103" i="4" s="1"/>
  <c r="F103" i="4" s="1"/>
  <c r="E103" i="4" s="1"/>
  <c r="A105" i="4"/>
  <c r="G104" i="4"/>
  <c r="H104" i="4" s="1"/>
  <c r="I104" i="4"/>
  <c r="B104" i="4"/>
  <c r="C104" i="4" l="1"/>
  <c r="D104" i="4" s="1"/>
  <c r="F104" i="4" s="1"/>
  <c r="E104" i="4" s="1"/>
  <c r="B105" i="4"/>
  <c r="I105" i="4"/>
  <c r="G105" i="4"/>
  <c r="H105" i="4" s="1"/>
  <c r="A106" i="4"/>
  <c r="C105" i="4" l="1"/>
  <c r="D105" i="4" s="1"/>
  <c r="F105" i="4" s="1"/>
  <c r="E105" i="4" s="1"/>
  <c r="I106" i="4"/>
  <c r="B106" i="4"/>
  <c r="C106" i="4" s="1"/>
  <c r="D106" i="4" s="1"/>
  <c r="F106" i="4" s="1"/>
  <c r="E106" i="4" s="1"/>
  <c r="A107" i="4"/>
  <c r="G106" i="4"/>
  <c r="H106" i="4" s="1"/>
  <c r="I107" i="4" l="1"/>
  <c r="B107" i="4"/>
  <c r="G107" i="4"/>
  <c r="H107" i="4" s="1"/>
  <c r="A108" i="4"/>
  <c r="B108" i="4" l="1"/>
  <c r="I108" i="4"/>
  <c r="G108" i="4"/>
  <c r="H108" i="4" s="1"/>
  <c r="A109" i="4"/>
  <c r="C107" i="4"/>
  <c r="D107" i="4" s="1"/>
  <c r="F107" i="4" s="1"/>
  <c r="E107" i="4" s="1"/>
  <c r="I109" i="4" l="1"/>
  <c r="B109" i="4"/>
  <c r="G109" i="4"/>
  <c r="H109" i="4" s="1"/>
  <c r="A110" i="4"/>
  <c r="C108" i="4"/>
  <c r="D108" i="4" s="1"/>
  <c r="F108" i="4" s="1"/>
  <c r="E108" i="4" s="1"/>
  <c r="B110" i="4" l="1"/>
  <c r="G110" i="4"/>
  <c r="H110" i="4" s="1"/>
  <c r="A111" i="4"/>
  <c r="I110" i="4"/>
  <c r="C109" i="4"/>
  <c r="D109" i="4" s="1"/>
  <c r="F109" i="4" s="1"/>
  <c r="E109" i="4" s="1"/>
  <c r="G111" i="4" l="1"/>
  <c r="H111" i="4" s="1"/>
  <c r="A112" i="4"/>
  <c r="I111" i="4"/>
  <c r="B111" i="4"/>
  <c r="C111" i="4" s="1"/>
  <c r="D111" i="4" s="1"/>
  <c r="F111" i="4" s="1"/>
  <c r="E111" i="4" s="1"/>
  <c r="C110" i="4"/>
  <c r="D110" i="4" s="1"/>
  <c r="F110" i="4" s="1"/>
  <c r="E110" i="4" s="1"/>
  <c r="B112" i="4" l="1"/>
  <c r="A113" i="4"/>
  <c r="I112" i="4"/>
  <c r="G112" i="4"/>
  <c r="H112" i="4" s="1"/>
  <c r="C112" i="4" l="1"/>
  <c r="D112" i="4" s="1"/>
  <c r="F112" i="4" s="1"/>
  <c r="E112" i="4" s="1"/>
  <c r="B113" i="4"/>
  <c r="A114" i="4"/>
  <c r="G113" i="4"/>
  <c r="H113" i="4" s="1"/>
  <c r="I113" i="4"/>
  <c r="I114" i="4" l="1"/>
  <c r="G114" i="4"/>
  <c r="H114" i="4" s="1"/>
  <c r="B114" i="4"/>
  <c r="C114" i="4" s="1"/>
  <c r="D114" i="4" s="1"/>
  <c r="F114" i="4" s="1"/>
  <c r="E114" i="4" s="1"/>
  <c r="A115" i="4"/>
  <c r="C113" i="4"/>
  <c r="D113" i="4" s="1"/>
  <c r="F113" i="4"/>
  <c r="E113" i="4" s="1"/>
  <c r="B115" i="4" l="1"/>
  <c r="A116" i="4"/>
  <c r="I115" i="4"/>
  <c r="G115" i="4"/>
  <c r="H115" i="4" s="1"/>
  <c r="B116" i="4" l="1"/>
  <c r="A117" i="4"/>
  <c r="G116" i="4"/>
  <c r="H116" i="4" s="1"/>
  <c r="I116" i="4"/>
  <c r="C115" i="4"/>
  <c r="D115" i="4" s="1"/>
  <c r="F115" i="4" s="1"/>
  <c r="E115" i="4" s="1"/>
  <c r="B117" i="4" l="1"/>
  <c r="A118" i="4"/>
  <c r="G117" i="4"/>
  <c r="H117" i="4" s="1"/>
  <c r="I117" i="4"/>
  <c r="C116" i="4"/>
  <c r="D116" i="4" s="1"/>
  <c r="F116" i="4" s="1"/>
  <c r="E116" i="4" s="1"/>
  <c r="G118" i="4" l="1"/>
  <c r="H118" i="4" s="1"/>
  <c r="B118" i="4"/>
  <c r="I118" i="4"/>
  <c r="A119" i="4"/>
  <c r="C117" i="4"/>
  <c r="D117" i="4" s="1"/>
  <c r="F117" i="4" s="1"/>
  <c r="E117" i="4" s="1"/>
  <c r="G119" i="4" l="1"/>
  <c r="H119" i="4" s="1"/>
  <c r="A120" i="4"/>
  <c r="I119" i="4"/>
  <c r="B119" i="4"/>
  <c r="C119" i="4" s="1"/>
  <c r="D119" i="4" s="1"/>
  <c r="F119" i="4" s="1"/>
  <c r="E119" i="4" s="1"/>
  <c r="C118" i="4"/>
  <c r="D118" i="4" s="1"/>
  <c r="F118" i="4" s="1"/>
  <c r="E118" i="4" s="1"/>
  <c r="G120" i="4" l="1"/>
  <c r="H120" i="4" s="1"/>
  <c r="I120" i="4"/>
  <c r="B120" i="4"/>
  <c r="C120" i="4" s="1"/>
  <c r="D120" i="4" s="1"/>
  <c r="F120" i="4" s="1"/>
  <c r="E120" i="4" s="1"/>
  <c r="A121" i="4"/>
  <c r="I121" i="4" l="1"/>
  <c r="B121" i="4"/>
  <c r="A122" i="4"/>
  <c r="G121" i="4"/>
  <c r="H121" i="4" s="1"/>
  <c r="I122" i="4" l="1"/>
  <c r="B122" i="4"/>
  <c r="A123" i="4"/>
  <c r="G122" i="4"/>
  <c r="H122" i="4" s="1"/>
  <c r="C121" i="4"/>
  <c r="D121" i="4" s="1"/>
  <c r="F121" i="4" s="1"/>
  <c r="E121" i="4" s="1"/>
  <c r="G123" i="4" l="1"/>
  <c r="H123" i="4" s="1"/>
  <c r="I123" i="4"/>
  <c r="B123" i="4"/>
  <c r="C123" i="4" s="1"/>
  <c r="D123" i="4" s="1"/>
  <c r="F123" i="4" s="1"/>
  <c r="E123" i="4" s="1"/>
  <c r="A124" i="4"/>
  <c r="C122" i="4"/>
  <c r="D122" i="4" s="1"/>
  <c r="F122" i="4" s="1"/>
  <c r="E122" i="4" s="1"/>
  <c r="G124" i="4" l="1"/>
  <c r="H124" i="4" s="1"/>
  <c r="B124" i="4"/>
  <c r="A125" i="4"/>
  <c r="I124" i="4"/>
  <c r="I125" i="4" l="1"/>
  <c r="B125" i="4"/>
  <c r="G125" i="4"/>
  <c r="H125" i="4" s="1"/>
  <c r="A126" i="4"/>
  <c r="C124" i="4"/>
  <c r="D124" i="4" s="1"/>
  <c r="F124" i="4" s="1"/>
  <c r="E124" i="4" s="1"/>
  <c r="I126" i="4" l="1"/>
  <c r="B126" i="4"/>
  <c r="G126" i="4"/>
  <c r="H126" i="4" s="1"/>
  <c r="A127" i="4"/>
  <c r="C125" i="4"/>
  <c r="D125" i="4" s="1"/>
  <c r="F125" i="4" s="1"/>
  <c r="E125" i="4" s="1"/>
  <c r="C126" i="4" l="1"/>
  <c r="D126" i="4" s="1"/>
  <c r="F126" i="4" s="1"/>
  <c r="E126" i="4" s="1"/>
  <c r="I127" i="4"/>
  <c r="G127" i="4"/>
  <c r="H127" i="4" s="1"/>
  <c r="B127" i="4"/>
  <c r="C127" i="4" s="1"/>
  <c r="D127" i="4" s="1"/>
  <c r="F127" i="4" s="1"/>
  <c r="E127" i="4" s="1"/>
  <c r="A128" i="4"/>
  <c r="G128" i="4" l="1"/>
  <c r="H128" i="4" s="1"/>
  <c r="B128" i="4"/>
  <c r="A129" i="4"/>
  <c r="A130" i="4" s="1"/>
  <c r="I128" i="4"/>
  <c r="I130" i="4" l="1"/>
  <c r="A131" i="4"/>
  <c r="B130" i="4"/>
  <c r="G130" i="4"/>
  <c r="H130" i="4" s="1"/>
  <c r="I129" i="4"/>
  <c r="B129" i="4"/>
  <c r="G129" i="4"/>
  <c r="H129" i="4" s="1"/>
  <c r="F128" i="4"/>
  <c r="E128" i="4" s="1"/>
  <c r="C128" i="4"/>
  <c r="D128" i="4" s="1"/>
  <c r="C130" i="4" l="1"/>
  <c r="D130" i="4" s="1"/>
  <c r="F130" i="4" s="1"/>
  <c r="E130" i="4" s="1"/>
  <c r="A132" i="4"/>
  <c r="G131" i="4"/>
  <c r="H131" i="4" s="1"/>
  <c r="B131" i="4"/>
  <c r="I131" i="4"/>
  <c r="C129" i="4"/>
  <c r="D129" i="4" s="1"/>
  <c r="F129" i="4" s="1"/>
  <c r="E129" i="4" s="1"/>
  <c r="C131" i="4" l="1"/>
  <c r="D131" i="4" s="1"/>
  <c r="F131" i="4" s="1"/>
  <c r="E131" i="4" s="1"/>
  <c r="B132" i="4"/>
  <c r="A133" i="4"/>
  <c r="I132" i="4"/>
  <c r="G132" i="4"/>
  <c r="H132" i="4" s="1"/>
  <c r="L26" i="5"/>
  <c r="R26" i="5" s="1"/>
  <c r="N26" i="5"/>
  <c r="O26" i="5" s="1"/>
  <c r="P26" i="5" s="1"/>
  <c r="G133" i="4" l="1"/>
  <c r="H133" i="4" s="1"/>
  <c r="A134" i="4"/>
  <c r="I133" i="4"/>
  <c r="B133" i="4"/>
  <c r="C133" i="4" s="1"/>
  <c r="D133" i="4" s="1"/>
  <c r="F133" i="4" s="1"/>
  <c r="E133" i="4" s="1"/>
  <c r="C132" i="4"/>
  <c r="D132" i="4" s="1"/>
  <c r="F132" i="4" s="1"/>
  <c r="E132" i="4" s="1"/>
  <c r="Q26" i="5"/>
  <c r="S26" i="5" s="1"/>
  <c r="U26" i="5" s="1"/>
  <c r="I134" i="4" l="1"/>
  <c r="A135" i="4"/>
  <c r="B134" i="4"/>
  <c r="G134" i="4"/>
  <c r="H134" i="4" s="1"/>
  <c r="B135" i="4" l="1"/>
  <c r="A136" i="4"/>
  <c r="I135" i="4"/>
  <c r="G135" i="4"/>
  <c r="H135" i="4" s="1"/>
  <c r="C134" i="4"/>
  <c r="D134" i="4" s="1"/>
  <c r="F134" i="4" s="1"/>
  <c r="E134" i="4" s="1"/>
  <c r="G136" i="4" l="1"/>
  <c r="H136" i="4" s="1"/>
  <c r="A137" i="4"/>
  <c r="B136" i="4"/>
  <c r="C136" i="4" s="1"/>
  <c r="D136" i="4" s="1"/>
  <c r="F136" i="4" s="1"/>
  <c r="E136" i="4" s="1"/>
  <c r="I136" i="4"/>
  <c r="C135" i="4"/>
  <c r="D135" i="4" s="1"/>
  <c r="F135" i="4" s="1"/>
  <c r="E135" i="4" s="1"/>
  <c r="A138" i="4" l="1"/>
  <c r="G137" i="4"/>
  <c r="H137" i="4" s="1"/>
  <c r="B137" i="4"/>
  <c r="I137" i="4"/>
  <c r="C137" i="4" l="1"/>
  <c r="D137" i="4" s="1"/>
  <c r="F137" i="4" s="1"/>
  <c r="E137" i="4" s="1"/>
  <c r="G138" i="4"/>
  <c r="H138" i="4" s="1"/>
  <c r="A139" i="4"/>
  <c r="B138" i="4"/>
  <c r="I138" i="4"/>
  <c r="C138" i="4" l="1"/>
  <c r="D138" i="4" s="1"/>
  <c r="F138" i="4" s="1"/>
  <c r="E138" i="4" s="1"/>
  <c r="B139" i="4"/>
  <c r="A140" i="4"/>
  <c r="G139" i="4"/>
  <c r="H139" i="4" s="1"/>
  <c r="I139" i="4"/>
  <c r="G140" i="4" l="1"/>
  <c r="H140" i="4" s="1"/>
  <c r="B140" i="4"/>
  <c r="A141" i="4"/>
  <c r="I140" i="4"/>
  <c r="C139" i="4"/>
  <c r="D139" i="4" s="1"/>
  <c r="F139" i="4" s="1"/>
  <c r="E139" i="4" s="1"/>
  <c r="C140" i="4" l="1"/>
  <c r="D140" i="4" s="1"/>
  <c r="F140" i="4" s="1"/>
  <c r="E140" i="4" s="1"/>
  <c r="A142" i="4"/>
  <c r="G141" i="4"/>
  <c r="H141" i="4" s="1"/>
  <c r="B141" i="4"/>
  <c r="I141" i="4"/>
  <c r="A143" i="4" l="1"/>
  <c r="B142" i="4"/>
  <c r="G142" i="4"/>
  <c r="H142" i="4" s="1"/>
  <c r="I142" i="4"/>
  <c r="C141" i="4"/>
  <c r="D141" i="4" s="1"/>
  <c r="F141" i="4" s="1"/>
  <c r="E141" i="4" s="1"/>
  <c r="C142" i="4" l="1"/>
  <c r="D142" i="4" s="1"/>
  <c r="F142" i="4" s="1"/>
  <c r="E142" i="4" s="1"/>
  <c r="A144" i="4"/>
  <c r="I143" i="4"/>
  <c r="B143" i="4"/>
  <c r="G143" i="4"/>
  <c r="H143" i="4" s="1"/>
  <c r="C143" i="4" l="1"/>
  <c r="D143" i="4" s="1"/>
  <c r="F143" i="4" s="1"/>
  <c r="E143" i="4" s="1"/>
  <c r="I144" i="4"/>
  <c r="B144" i="4"/>
  <c r="A145" i="4"/>
  <c r="G144" i="4"/>
  <c r="H144" i="4" s="1"/>
  <c r="I145" i="4" l="1"/>
  <c r="G145" i="4"/>
  <c r="H145" i="4" s="1"/>
  <c r="B145" i="4"/>
  <c r="C145" i="4" s="1"/>
  <c r="D145" i="4" s="1"/>
  <c r="F145" i="4" s="1"/>
  <c r="E145" i="4" s="1"/>
  <c r="A146" i="4"/>
  <c r="C144" i="4"/>
  <c r="D144" i="4" s="1"/>
  <c r="F144" i="4" s="1"/>
  <c r="E144" i="4" s="1"/>
  <c r="I146" i="4" l="1"/>
  <c r="A147" i="4"/>
  <c r="B146" i="4"/>
  <c r="G146" i="4"/>
  <c r="H146" i="4" s="1"/>
  <c r="A148" i="4" l="1"/>
  <c r="G147" i="4"/>
  <c r="H147" i="4" s="1"/>
  <c r="B147" i="4"/>
  <c r="I147" i="4"/>
  <c r="C146" i="4"/>
  <c r="D146" i="4" s="1"/>
  <c r="F146" i="4" s="1"/>
  <c r="E146" i="4" s="1"/>
  <c r="C147" i="4" l="1"/>
  <c r="D147" i="4" s="1"/>
  <c r="F147" i="4" s="1"/>
  <c r="E147" i="4" s="1"/>
  <c r="I148" i="4"/>
  <c r="G148" i="4"/>
  <c r="H148" i="4" s="1"/>
  <c r="B148" i="4"/>
  <c r="C148" i="4" s="1"/>
  <c r="D148" i="4" s="1"/>
  <c r="F148" i="4" s="1"/>
  <c r="E148" i="4" s="1"/>
  <c r="A149" i="4"/>
  <c r="A150" i="4" l="1"/>
  <c r="I149" i="4"/>
  <c r="G149" i="4"/>
  <c r="H149" i="4" s="1"/>
  <c r="B149" i="4"/>
  <c r="C149" i="4" l="1"/>
  <c r="D149" i="4" s="1"/>
  <c r="F149" i="4" s="1"/>
  <c r="E149" i="4" s="1"/>
  <c r="B150" i="4"/>
  <c r="G150" i="4"/>
  <c r="H150" i="4" s="1"/>
  <c r="I150" i="4"/>
  <c r="A151" i="4"/>
  <c r="B151" i="4" l="1"/>
  <c r="I151" i="4"/>
  <c r="A152" i="4"/>
  <c r="G151" i="4"/>
  <c r="H151" i="4" s="1"/>
  <c r="C150" i="4"/>
  <c r="D150" i="4" s="1"/>
  <c r="F150" i="4" s="1"/>
  <c r="E150" i="4" s="1"/>
  <c r="I152" i="4" l="1"/>
  <c r="G152" i="4"/>
  <c r="H152" i="4" s="1"/>
  <c r="A153" i="4"/>
  <c r="B152" i="4"/>
  <c r="C152" i="4" s="1"/>
  <c r="D152" i="4" s="1"/>
  <c r="F152" i="4" s="1"/>
  <c r="E152" i="4" s="1"/>
  <c r="C151" i="4"/>
  <c r="D151" i="4" s="1"/>
  <c r="F151" i="4" s="1"/>
  <c r="E151" i="4" s="1"/>
  <c r="G153" i="4" l="1"/>
  <c r="H153" i="4" s="1"/>
  <c r="B153" i="4"/>
  <c r="I153" i="4"/>
  <c r="A154" i="4"/>
  <c r="C153" i="4" l="1"/>
  <c r="D153" i="4" s="1"/>
  <c r="F153" i="4" s="1"/>
  <c r="E153" i="4" s="1"/>
  <c r="A155" i="4"/>
  <c r="B154" i="4"/>
  <c r="I154" i="4"/>
  <c r="G154" i="4"/>
  <c r="H154" i="4" s="1"/>
  <c r="C154" i="4" l="1"/>
  <c r="D154" i="4" s="1"/>
  <c r="F154" i="4" s="1"/>
  <c r="E154" i="4" s="1"/>
  <c r="I155" i="4"/>
  <c r="G155" i="4"/>
  <c r="H155" i="4" s="1"/>
  <c r="A156" i="4"/>
  <c r="B155" i="4"/>
  <c r="C155" i="4" l="1"/>
  <c r="D155" i="4" s="1"/>
  <c r="F155" i="4" s="1"/>
  <c r="E155" i="4" s="1"/>
  <c r="A157" i="4"/>
  <c r="I156" i="4"/>
  <c r="G156" i="4"/>
  <c r="H156" i="4" s="1"/>
  <c r="B156" i="4"/>
  <c r="C156" i="4" l="1"/>
  <c r="D156" i="4" s="1"/>
  <c r="F156" i="4" s="1"/>
  <c r="E156" i="4" s="1"/>
  <c r="I157" i="4"/>
  <c r="B157" i="4"/>
  <c r="C157" i="4" s="1"/>
  <c r="D157" i="4" s="1"/>
  <c r="F157" i="4" s="1"/>
  <c r="E157" i="4" s="1"/>
  <c r="A158" i="4"/>
  <c r="G157" i="4"/>
  <c r="H157" i="4" s="1"/>
  <c r="G158" i="4" l="1"/>
  <c r="H158" i="4" s="1"/>
  <c r="I158" i="4"/>
  <c r="A159" i="4"/>
  <c r="B158" i="4"/>
  <c r="C158" i="4" l="1"/>
  <c r="D158" i="4" s="1"/>
  <c r="F158" i="4" s="1"/>
  <c r="E158" i="4" s="1"/>
  <c r="I159" i="4"/>
  <c r="G159" i="4"/>
  <c r="H159" i="4" s="1"/>
  <c r="B159" i="4"/>
  <c r="A160" i="4"/>
  <c r="A161" i="4" l="1"/>
  <c r="I160" i="4"/>
  <c r="B160" i="4"/>
  <c r="G160" i="4"/>
  <c r="H160" i="4" s="1"/>
  <c r="C159" i="4"/>
  <c r="D159" i="4" s="1"/>
  <c r="F159" i="4" s="1"/>
  <c r="E159" i="4" s="1"/>
  <c r="B161" i="4" l="1"/>
  <c r="I161" i="4"/>
  <c r="G161" i="4"/>
  <c r="H161" i="4" s="1"/>
  <c r="A162" i="4"/>
  <c r="C160" i="4"/>
  <c r="D160" i="4" s="1"/>
  <c r="F160" i="4" s="1"/>
  <c r="E160" i="4" s="1"/>
  <c r="C161" i="4" l="1"/>
  <c r="D161" i="4" s="1"/>
  <c r="F161" i="4" s="1"/>
  <c r="E161" i="4" s="1"/>
  <c r="G162" i="4"/>
  <c r="H162" i="4" s="1"/>
  <c r="A163" i="4"/>
  <c r="B162" i="4"/>
  <c r="I162" i="4"/>
  <c r="C162" i="4" l="1"/>
  <c r="D162" i="4" s="1"/>
  <c r="F162" i="4" s="1"/>
  <c r="E162" i="4" s="1"/>
  <c r="A164" i="4"/>
  <c r="B163" i="4"/>
  <c r="G163" i="4"/>
  <c r="H163" i="4" s="1"/>
  <c r="I163" i="4"/>
  <c r="C163" i="4" l="1"/>
  <c r="D163" i="4" s="1"/>
  <c r="F163" i="4" s="1"/>
  <c r="E163" i="4" s="1"/>
  <c r="A165" i="4"/>
  <c r="G164" i="4"/>
  <c r="H164" i="4" s="1"/>
  <c r="I164" i="4"/>
  <c r="B164" i="4"/>
  <c r="C164" i="4" l="1"/>
  <c r="D164" i="4" s="1"/>
  <c r="F164" i="4" s="1"/>
  <c r="E164" i="4" s="1"/>
  <c r="A166" i="4"/>
  <c r="I165" i="4"/>
  <c r="G165" i="4"/>
  <c r="H165" i="4" s="1"/>
  <c r="B165" i="4"/>
  <c r="C165" i="4" l="1"/>
  <c r="D165" i="4" s="1"/>
  <c r="F165" i="4" s="1"/>
  <c r="E165" i="4" s="1"/>
  <c r="G166" i="4"/>
  <c r="H166" i="4" s="1"/>
  <c r="A167" i="4"/>
  <c r="I166" i="4"/>
  <c r="B166" i="4"/>
  <c r="C166" i="4" l="1"/>
  <c r="D166" i="4" s="1"/>
  <c r="F166" i="4" s="1"/>
  <c r="E166" i="4" s="1"/>
  <c r="G167" i="4"/>
  <c r="H167" i="4" s="1"/>
  <c r="B167" i="4"/>
  <c r="I167" i="4"/>
  <c r="C167" i="4" l="1"/>
  <c r="D167" i="4" s="1"/>
  <c r="F167" i="4" s="1"/>
  <c r="E167" i="4" s="1"/>
</calcChain>
</file>

<file path=xl/sharedStrings.xml><?xml version="1.0" encoding="utf-8"?>
<sst xmlns="http://schemas.openxmlformats.org/spreadsheetml/2006/main" count="2504" uniqueCount="331">
  <si>
    <t>C EtOH</t>
  </si>
  <si>
    <t>g/L</t>
  </si>
  <si>
    <t>mol/L</t>
  </si>
  <si>
    <t>C Glc in</t>
  </si>
  <si>
    <t>https://doi.org/10.1002/bit.260250618</t>
  </si>
  <si>
    <t>mu</t>
  </si>
  <si>
    <t>h-1</t>
  </si>
  <si>
    <t>qs</t>
  </si>
  <si>
    <t>Mx</t>
  </si>
  <si>
    <t>CH1.7O0.4N0.2</t>
  </si>
  <si>
    <t>qp</t>
  </si>
  <si>
    <t>Cx</t>
  </si>
  <si>
    <t>gx/gs</t>
  </si>
  <si>
    <t>ms</t>
  </si>
  <si>
    <t>gs/gx h</t>
  </si>
  <si>
    <t>mols/molx h</t>
  </si>
  <si>
    <t>molp/molx h</t>
  </si>
  <si>
    <t>molx/mols</t>
  </si>
  <si>
    <t>gx/molx</t>
  </si>
  <si>
    <t>Bioprocess Engineering 8 (1992) 39 47</t>
  </si>
  <si>
    <t>Exp.no.</t>
  </si>
  <si>
    <t>Cp</t>
  </si>
  <si>
    <t>g/g h</t>
  </si>
  <si>
    <t>mol/mol h</t>
  </si>
  <si>
    <t>molx/gx</t>
  </si>
  <si>
    <t>1a</t>
  </si>
  <si>
    <t>1b</t>
  </si>
  <si>
    <t>1c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</si>
  <si>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</si>
  <si>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</si>
  <si>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</si>
  <si>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</si>
  <si>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</si>
  <si>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</si>
  <si>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</si>
  <si>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</si>
  <si>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</si>
  <si>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2j</t>
  </si>
  <si>
    <t>3a</t>
  </si>
  <si>
    <t>4a</t>
  </si>
  <si>
    <t>Cs</t>
  </si>
  <si>
    <t xml:space="preserve">according  to https://doi.org/10.1016/j.heliyon.2019.e01950 </t>
  </si>
  <si>
    <t>https://doi.org/10.1007/BF00369262</t>
  </si>
  <si>
    <t>mols/molx</t>
  </si>
  <si>
    <t>gamma</t>
  </si>
  <si>
    <t>X</t>
  </si>
  <si>
    <t>P</t>
  </si>
  <si>
    <t>S</t>
  </si>
  <si>
    <t>Original data</t>
  </si>
  <si>
    <t>D (h-1)</t>
  </si>
  <si>
    <t>qs (g/gh)</t>
  </si>
  <si>
    <t>18.2 g/L EtOH</t>
  </si>
  <si>
    <t>9.2 g/L EtOH</t>
  </si>
  <si>
    <t>27.0 g/L EtOH</t>
  </si>
  <si>
    <t>ms (g/g h)</t>
  </si>
  <si>
    <t>Without inhibition</t>
  </si>
  <si>
    <t>Ks</t>
  </si>
  <si>
    <t>With inhibition</t>
  </si>
  <si>
    <t>goal seek</t>
  </si>
  <si>
    <t>glucose</t>
  </si>
  <si>
    <t>biomass</t>
  </si>
  <si>
    <t>ethanol</t>
  </si>
  <si>
    <t>glucose inhibited</t>
  </si>
  <si>
    <t>biomass inhibited</t>
  </si>
  <si>
    <t>ethanol inhibited</t>
  </si>
  <si>
    <t>t</t>
  </si>
  <si>
    <t>h</t>
  </si>
  <si>
    <t>mol/L h</t>
  </si>
  <si>
    <t>change to zero</t>
  </si>
  <si>
    <t>Standard Error</t>
  </si>
  <si>
    <t>SUMMARY OUTPUT</t>
  </si>
  <si>
    <t>Regression Statistics</t>
  </si>
  <si>
    <t>Multiple R</t>
  </si>
  <si>
    <t>R Square</t>
  </si>
  <si>
    <t>Adjusted R Square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</si>
  <si>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</si>
  <si>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</si>
  <si>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</si>
  <si>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</si>
  <si>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</si>
  <si>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</si>
  <si>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</si>
  <si>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</si>
  <si>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</si>
  <si>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</si>
  <si>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</si>
  <si>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</si>
  <si>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</si>
  <si>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</si>
  <si>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</si>
  <si>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</si>
  <si>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</si>
  <si>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</si>
  <si>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</si>
  <si>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st.error</t>
  </si>
  <si>
    <t>https://doi-org.tudelft.idm.oclc.org/10.1007/BF00138666</t>
  </si>
  <si>
    <t xml:space="preserve">Figure 2 </t>
  </si>
  <si>
    <t>cEtOH (g/L)</t>
  </si>
  <si>
    <t>Figure 3</t>
  </si>
  <si>
    <t>ms=</t>
  </si>
  <si>
    <t>g/gh</t>
  </si>
  <si>
    <t>Two data points have been read from the straight line for qs vs. D</t>
  </si>
  <si>
    <t>D = mu</t>
  </si>
  <si>
    <t>cS</t>
  </si>
  <si>
    <t>cS0</t>
  </si>
  <si>
    <t>cP</t>
  </si>
  <si>
    <t>cP0</t>
  </si>
  <si>
    <t>cX</t>
  </si>
  <si>
    <t>cX0</t>
  </si>
  <si>
    <t>g/mol</t>
  </si>
  <si>
    <t>balance</t>
  </si>
  <si>
    <t>C</t>
  </si>
  <si>
    <t>Assumed biomass composition</t>
  </si>
  <si>
    <t>H</t>
  </si>
  <si>
    <t>N</t>
  </si>
  <si>
    <t>O</t>
  </si>
  <si>
    <t>gammax</t>
  </si>
  <si>
    <t>qP</t>
  </si>
  <si>
    <t>(mol/mol h)</t>
  </si>
  <si>
    <t>qS</t>
  </si>
  <si>
    <t>gamma balance</t>
  </si>
  <si>
    <t xml:space="preserve">poor gamma balances improved by </t>
  </si>
  <si>
    <t>assuming 0.3 glycerol per X</t>
  </si>
  <si>
    <t>Formula for partial F-test from https://www.statology.org/partial-f-test-excel/</t>
  </si>
  <si>
    <t xml:space="preserve">Formula for p-value: </t>
  </si>
  <si>
    <t>Since this p-value is not less than .05, we will fail to reject the reduced model.</t>
  </si>
  <si>
    <t>In other words, adding the cP dependency to the model does not significantly improve the fit.</t>
  </si>
  <si>
    <t xml:space="preserve">linear regression to qs = a mu + b </t>
  </si>
  <si>
    <t>linear regression to qs = a mu + b Cp + c</t>
  </si>
  <si>
    <t>X Variable 2</t>
  </si>
  <si>
    <t>ratio</t>
  </si>
  <si>
    <t>ETHANOL EFFECTS ON THE KINETICS OF A CONTINUOUS FERMENTATION WITH</t>
  </si>
  <si>
    <t>SACCHAROMYCES CEREVISIAE</t>
  </si>
  <si>
    <t>https://escholarship.org/uc/item/3wf9f3ww</t>
  </si>
  <si>
    <t>https://www.osti.gov/biblio/5358735</t>
  </si>
  <si>
    <t>cS0 (g/L)</t>
  </si>
  <si>
    <t>cS (g/L)</t>
  </si>
  <si>
    <t>cP0 (g/L)</t>
  </si>
  <si>
    <t>cP (g/L)</t>
  </si>
  <si>
    <t>cP_average</t>
  </si>
  <si>
    <t>cX (g/L)</t>
  </si>
  <si>
    <t>qP (g/g h)</t>
  </si>
  <si>
    <t>Analysis of the found lines</t>
  </si>
  <si>
    <t>1/Yxsmax</t>
  </si>
  <si>
    <t>Yxsmax (g/g)</t>
  </si>
  <si>
    <t>mu.Cp</t>
  </si>
  <si>
    <t>linear regression to qs = a mu + b Cp + c(mu CP) + d</t>
  </si>
  <si>
    <t>g/L h</t>
  </si>
  <si>
    <t xml:space="preserve">linear regression to qs = a mu + b Cp + c </t>
  </si>
  <si>
    <t>linear regression to qs = a mu + c(mu CP) + d</t>
  </si>
  <si>
    <t>mu.CP</t>
  </si>
  <si>
    <t>D</t>
  </si>
  <si>
    <t>mu (h-1)</t>
  </si>
  <si>
    <t>mu.cP</t>
  </si>
  <si>
    <t>D cP</t>
  </si>
  <si>
    <t xml:space="preserve"> D cP</t>
  </si>
  <si>
    <t>No.</t>
  </si>
  <si>
    <t>%</t>
  </si>
  <si>
    <t>-</t>
  </si>
  <si>
    <t>qCO2</t>
  </si>
  <si>
    <t>C-balance</t>
  </si>
  <si>
    <t>DcP</t>
  </si>
  <si>
    <t>cp</t>
  </si>
  <si>
    <t>from webdigitizer</t>
  </si>
  <si>
    <t>(h-1)</t>
  </si>
  <si>
    <t>cx</t>
  </si>
  <si>
    <t>(g/L)</t>
  </si>
  <si>
    <t xml:space="preserve">delta P </t>
  </si>
  <si>
    <t>1/cs</t>
  </si>
  <si>
    <t>1/mu</t>
  </si>
  <si>
    <t>L/g</t>
  </si>
  <si>
    <t>1/qp</t>
  </si>
  <si>
    <t>Retrieved figures 2-5 from Ghose&amp;Tyagi</t>
  </si>
  <si>
    <t>Processed data</t>
  </si>
  <si>
    <t>using webplotdigitizer</t>
  </si>
  <si>
    <t>D cp</t>
  </si>
  <si>
    <t>cs</t>
  </si>
  <si>
    <t>(g/g h)</t>
  </si>
  <si>
    <t>qp check</t>
  </si>
  <si>
    <t>gamma check</t>
  </si>
  <si>
    <t xml:space="preserve">caculated with guessing cs0 </t>
  </si>
  <si>
    <t>selection</t>
  </si>
  <si>
    <t>sum</t>
  </si>
  <si>
    <t>deviates</t>
  </si>
  <si>
    <t>in line with 20 g/L * 70%</t>
  </si>
  <si>
    <t>Mw (g/mol)</t>
  </si>
  <si>
    <t>molar composition X</t>
  </si>
  <si>
    <t>qmax0 (g / g h)</t>
  </si>
  <si>
    <t>intercept</t>
  </si>
  <si>
    <t>slope</t>
  </si>
  <si>
    <t>L/gp</t>
  </si>
  <si>
    <t>gamma (mole/moli)</t>
  </si>
  <si>
    <t>qmax0 (mol/mol h)</t>
  </si>
  <si>
    <t>mol/(mol h)</t>
  </si>
  <si>
    <r>
      <t xml:space="preserve">Eq.2, 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=0.5</t>
    </r>
  </si>
  <si>
    <r>
      <t xml:space="preserve">Eq.3, 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=0.5</t>
    </r>
  </si>
  <si>
    <r>
      <t xml:space="preserve">Eq.2, 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=2</t>
    </r>
  </si>
  <si>
    <t>Eq.1</t>
  </si>
  <si>
    <r>
      <t xml:space="preserve">Eq.3, </t>
    </r>
    <r>
      <rPr>
        <i/>
        <sz val="11"/>
        <color theme="1"/>
        <rFont val="Calibri"/>
        <family val="2"/>
        <scheme val="minor"/>
      </rPr>
      <t>n=2</t>
    </r>
  </si>
  <si>
    <t>Source:</t>
  </si>
  <si>
    <t>https://doi.org/10.1007/BF00130297</t>
  </si>
  <si>
    <t>https://doi.org/10.1016/0300-9467(87)80030-8</t>
  </si>
  <si>
    <t>https://doi-org.tudelft.idm.oclc.org/10.1002/bit.260280412</t>
  </si>
  <si>
    <t>https://doi.org/10.1002/bit.260210808</t>
  </si>
  <si>
    <t>Exp.</t>
  </si>
  <si>
    <t>Modelling of end-product inhibition in fermentation</t>
  </si>
  <si>
    <t>Adrie J.J. Straathof</t>
  </si>
  <si>
    <t>Contents</t>
  </si>
  <si>
    <t>Aiba 1968</t>
  </si>
  <si>
    <t>Supplementary meterials to</t>
  </si>
  <si>
    <t>Bazua 1975</t>
  </si>
  <si>
    <t>Fieschko 1983</t>
  </si>
  <si>
    <t>Ghose 1979</t>
  </si>
  <si>
    <t>Groot 1992</t>
  </si>
  <si>
    <t>Jobses 1986</t>
  </si>
  <si>
    <t>Lee 1980</t>
  </si>
  <si>
    <t>Schmidt 1987</t>
  </si>
  <si>
    <t>Tab name</t>
  </si>
  <si>
    <t>Figure 1</t>
  </si>
  <si>
    <t>Figure 2</t>
  </si>
  <si>
    <t>Figure 4</t>
  </si>
  <si>
    <t>Figure 1 data</t>
  </si>
  <si>
    <t>Figure 2 data</t>
  </si>
  <si>
    <t>Figure 3 data</t>
  </si>
  <si>
    <t>Figure 4 data</t>
  </si>
  <si>
    <t>Table 4 calculation</t>
  </si>
  <si>
    <t>x-axis</t>
  </si>
  <si>
    <t>y-axis</t>
  </si>
  <si>
    <t>from Table 5</t>
  </si>
  <si>
    <t>are highlighted</t>
  </si>
  <si>
    <t>independent parameters</t>
  </si>
  <si>
    <t>cp_crit (g/L)</t>
  </si>
  <si>
    <t>1/beta_a</t>
  </si>
  <si>
    <t>1/beta_m</t>
  </si>
  <si>
    <t>as</t>
  </si>
  <si>
    <t xml:space="preserve"> (g/L)</t>
  </si>
  <si>
    <t xml:space="preserve">c_p </t>
  </si>
  <si>
    <t xml:space="preserve">growth </t>
  </si>
  <si>
    <t xml:space="preserve"> -qs</t>
  </si>
  <si>
    <t xml:space="preserve"> (g/g h)</t>
  </si>
  <si>
    <t>(mol/ mol h)</t>
  </si>
  <si>
    <t>(gs/ gx h)</t>
  </si>
  <si>
    <t xml:space="preserve"> -q_s</t>
  </si>
  <si>
    <t xml:space="preserve">q_p </t>
  </si>
  <si>
    <t xml:space="preserve">m_s </t>
  </si>
  <si>
    <t>a_s</t>
  </si>
  <si>
    <t>a_s,0</t>
  </si>
  <si>
    <t>m_s,0</t>
  </si>
  <si>
    <t xml:space="preserve">gs/gx </t>
  </si>
  <si>
    <r>
      <t>g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/g</t>
    </r>
    <r>
      <rPr>
        <vertAlign val="subscript"/>
        <sz val="11"/>
        <color theme="1"/>
        <rFont val="Calibri"/>
        <family val="2"/>
        <scheme val="minor"/>
      </rPr>
      <t>x</t>
    </r>
  </si>
  <si>
    <r>
      <t>L/g</t>
    </r>
    <r>
      <rPr>
        <vertAlign val="subscript"/>
        <sz val="11"/>
        <color theme="1"/>
        <rFont val="Calibri"/>
        <family val="2"/>
        <scheme val="minor"/>
      </rPr>
      <t>p</t>
    </r>
  </si>
  <si>
    <r>
      <t>g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/g</t>
    </r>
    <r>
      <rPr>
        <vertAlign val="subscript"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h</t>
    </r>
  </si>
  <si>
    <r>
      <t>g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/L</t>
    </r>
  </si>
  <si>
    <t>time</t>
  </si>
  <si>
    <t>c_x</t>
  </si>
  <si>
    <t>c_s</t>
  </si>
  <si>
    <t>c_p</t>
  </si>
  <si>
    <r>
      <t>g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/L</t>
    </r>
  </si>
  <si>
    <r>
      <t>c</t>
    </r>
    <r>
      <rPr>
        <vertAlign val="subscript"/>
        <sz val="11"/>
        <color theme="1"/>
        <rFont val="Calibri"/>
        <family val="2"/>
        <scheme val="minor"/>
      </rPr>
      <t>s,0</t>
    </r>
  </si>
  <si>
    <r>
      <t>c</t>
    </r>
    <r>
      <rPr>
        <vertAlign val="subscript"/>
        <sz val="11"/>
        <color theme="1"/>
        <rFont val="Calibri"/>
        <family val="2"/>
        <scheme val="minor"/>
      </rPr>
      <t>x,0</t>
    </r>
  </si>
  <si>
    <r>
      <t>gamma (mol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/mol)</t>
    </r>
  </si>
  <si>
    <t xml:space="preserve">These degrees of reduction are used for shortcut calculation of qp from qs and mu instead of using the 4 elemental balances </t>
  </si>
  <si>
    <t>comment</t>
  </si>
  <si>
    <t>Molar masses</t>
  </si>
  <si>
    <t>μ</t>
  </si>
  <si>
    <t xml:space="preserve">q_x is called μ </t>
  </si>
  <si>
    <t>x</t>
  </si>
  <si>
    <t>p</t>
  </si>
  <si>
    <t>s</t>
  </si>
  <si>
    <t>column U</t>
  </si>
  <si>
    <t>by changing column T</t>
  </si>
  <si>
    <t>See picture for settings</t>
  </si>
  <si>
    <t>iteration</t>
  </si>
  <si>
    <t>Excel's solver to find c_p</t>
  </si>
  <si>
    <t>Parameters</t>
  </si>
  <si>
    <t>Initial concentrations:</t>
  </si>
  <si>
    <t>Chemostat simulation</t>
  </si>
  <si>
    <r>
      <t>c_p,crit,</t>
    </r>
    <r>
      <rPr>
        <sz val="11"/>
        <color theme="1"/>
        <rFont val="Calibri"/>
        <family val="2"/>
      </rPr>
      <t>μ</t>
    </r>
  </si>
  <si>
    <t xml:space="preserve"> -qsmax</t>
  </si>
  <si>
    <t>μ_max</t>
  </si>
  <si>
    <r>
      <t>c</t>
    </r>
    <r>
      <rPr>
        <vertAlign val="subscript"/>
        <sz val="11"/>
        <color theme="1"/>
        <rFont val="Calibri"/>
        <family val="2"/>
        <scheme val="minor"/>
      </rPr>
      <t>s,feed</t>
    </r>
  </si>
  <si>
    <t>L/mol</t>
  </si>
  <si>
    <t xml:space="preserve"> -rs</t>
  </si>
  <si>
    <t>linear regression to qs = a mu + b Cp + c(mu cP) + d</t>
  </si>
  <si>
    <t xml:space="preserve"> -qS (g/g h)</t>
  </si>
  <si>
    <t xml:space="preserve">a_s= </t>
  </si>
  <si>
    <t>a_s=</t>
  </si>
  <si>
    <t>Calculation kinetic parameters for chemostat from Fig 2 and 3 of Lee (1980)</t>
  </si>
  <si>
    <t xml:space="preserve"> qs</t>
  </si>
  <si>
    <t>1/a_s</t>
  </si>
  <si>
    <t>1/a_s (g/g)</t>
  </si>
  <si>
    <t>c_EtOH (g/L)</t>
  </si>
  <si>
    <t>without the error in  the formula actually used on that website</t>
  </si>
  <si>
    <t>Explanation of Table 4 calculations</t>
  </si>
  <si>
    <t xml:space="preserve">Fitting was done using Excel's Regression function in the Data Analysis menu </t>
  </si>
  <si>
    <r>
      <t>y = a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 xml:space="preserve">x1 + b  </t>
    </r>
  </si>
  <si>
    <t>vs.</t>
  </si>
  <si>
    <t>y = ax1 + bx2 + c</t>
  </si>
  <si>
    <t>Functions were fitted and compared pairwise, always in the same order:</t>
  </si>
  <si>
    <t xml:space="preserve">y = a·x1 + b  </t>
  </si>
  <si>
    <t xml:space="preserve">vs. </t>
  </si>
  <si>
    <t>y = ax1 + bx2 + cx3 + d</t>
  </si>
  <si>
    <t xml:space="preserve">y = a·x1 + bx2 + c  </t>
  </si>
  <si>
    <t>y = ax1 + bx3 + c</t>
  </si>
  <si>
    <t>y = ax1 +  b</t>
  </si>
  <si>
    <r>
      <t xml:space="preserve">D and </t>
    </r>
    <r>
      <rPr>
        <sz val="11"/>
        <color theme="1"/>
        <rFont val="Calibri"/>
        <family val="2"/>
      </rPr>
      <t>μ (=mu) have been used interchangably, since D = mu in chemostat steady states.</t>
    </r>
  </si>
  <si>
    <r>
      <t>Data retrieved from the literature involve columns with values of -q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(the y-variable; often called qs for brevity) and of D, c_p, and D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 xml:space="preserve">c_p (the x1, x2 and x3 variables; in that order if all jointly used). </t>
    </r>
  </si>
  <si>
    <t>In other words, adding the mu.cP dependency to the model does not significantly improve the fit.</t>
  </si>
  <si>
    <t>Per fit, estimates were obtained for a, b, c, d with error ranges. (Three tables of Excel output under SUMMARY OUTPUT)</t>
  </si>
  <si>
    <t>For each pair of fits, the significance of adding the higher-order term was subsequently determined using an F-test.</t>
  </si>
  <si>
    <t>Since this p-value is less than .05, we can reject the reduced model.</t>
  </si>
  <si>
    <t>In other words, adding the mu.cP dependency to the model does significantly improve the fit.</t>
  </si>
  <si>
    <t>In other words, adding the cP and mu.cP dependency to the model does not significantly improve the fit.</t>
  </si>
  <si>
    <t>In other words, adding the cP and mu.cP dependency to the model does significantly improve the fit.</t>
  </si>
  <si>
    <t>Since this p-value is not less than .05, we can reject the reduced model.</t>
  </si>
  <si>
    <t>In other words, adding the cP dependency to the model does significantly improve the fit.</t>
  </si>
  <si>
    <t>c_p (g/L)</t>
  </si>
  <si>
    <t>c_p (mol/L)</t>
  </si>
  <si>
    <t>Initial concentration:</t>
  </si>
  <si>
    <t>c_x (g/L)</t>
  </si>
  <si>
    <t>c_x (mol/L)</t>
  </si>
  <si>
    <t>c_s (g/L)</t>
  </si>
  <si>
    <t>glucose experimental</t>
  </si>
  <si>
    <t>biomass experimental</t>
  </si>
  <si>
    <t>ethanol experimental</t>
  </si>
  <si>
    <t>Data points from Huang 1988</t>
  </si>
  <si>
    <t>Data points from Schmidt 1987</t>
  </si>
  <si>
    <t>Calculated using the supplementary Matlab files</t>
  </si>
  <si>
    <t>cp/cp_crit</t>
  </si>
  <si>
    <t>Batch progress curves according to Matlab simulation</t>
  </si>
  <si>
    <t>Experimental data retrieved from Schmidt and Schugerl(1987)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</si>
</sst>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"/>
    <numFmt numFmtId="165" formatCode="0.000000"/>
    <numFmt numFmtId="166" formatCode="0.00000"/>
    <numFmt numFmtId="167" formatCode="0.000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92D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20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92D05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1"/>
    <xf numFmtId="0" fontId="0" fillId="0" borderId="1" xfId="0" applyBorder="1"/>
    <xf numFmtId="0" fontId="0" fillId="0" borderId="0" xfId="0" applyFont="1"/>
    <xf numFmtId="0" fontId="0" fillId="2" borderId="0" xfId="0" applyFill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0" fillId="0" borderId="0" xfId="0" applyFill="1" applyBorder="1" applyAlignment="1"/>
    <xf numFmtId="0" fontId="0" fillId="0" borderId="2" xfId="0" applyFill="1" applyBorder="1" applyAlignment="1"/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Continuous"/>
    </xf>
    <xf numFmtId="0" fontId="7" fillId="0" borderId="0" xfId="0" applyFont="1"/>
    <xf numFmtId="0" fontId="3" fillId="0" borderId="0" xfId="0" applyFont="1" applyBorder="1"/>
    <xf numFmtId="0" fontId="0" fillId="0" borderId="0" xfId="0" applyFill="1" applyBorder="1"/>
    <xf numFmtId="0" fontId="7" fillId="0" borderId="0" xfId="0" applyFont="1" applyFill="1" applyBorder="1"/>
    <xf numFmtId="0" fontId="0" fillId="0" borderId="1" xfId="0" applyFont="1" applyBorder="1"/>
    <xf numFmtId="164" fontId="0" fillId="0" borderId="0" xfId="0" applyNumberFormat="1"/>
    <xf numFmtId="164" fontId="0" fillId="0" borderId="1" xfId="0" applyNumberFormat="1" applyBorder="1"/>
    <xf numFmtId="165" fontId="0" fillId="0" borderId="0" xfId="0" applyNumberFormat="1"/>
    <xf numFmtId="165" fontId="0" fillId="0" borderId="1" xfId="0" applyNumberFormat="1" applyBorder="1"/>
    <xf numFmtId="166" fontId="0" fillId="0" borderId="0" xfId="0" applyNumberFormat="1"/>
    <xf numFmtId="0" fontId="6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"/>
    </xf>
    <xf numFmtId="0" fontId="0" fillId="0" borderId="0" xfId="0" applyFill="1"/>
    <xf numFmtId="11" fontId="0" fillId="0" borderId="0" xfId="0" applyNumberFormat="1"/>
    <xf numFmtId="0" fontId="8" fillId="0" borderId="0" xfId="0" applyFont="1"/>
    <xf numFmtId="0" fontId="2" fillId="0" borderId="1" xfId="0" applyFont="1" applyBorder="1"/>
    <xf numFmtId="0" fontId="0" fillId="0" borderId="1" xfId="0" applyFill="1" applyBorder="1"/>
    <xf numFmtId="0" fontId="2" fillId="3" borderId="0" xfId="0" applyFont="1" applyFill="1"/>
    <xf numFmtId="0" fontId="0" fillId="3" borderId="0" xfId="0" applyFill="1"/>
    <xf numFmtId="0" fontId="0" fillId="3" borderId="1" xfId="0" applyFill="1" applyBorder="1"/>
    <xf numFmtId="0" fontId="2" fillId="4" borderId="0" xfId="0" applyFont="1" applyFill="1"/>
    <xf numFmtId="0" fontId="0" fillId="4" borderId="0" xfId="0" applyFill="1"/>
    <xf numFmtId="0" fontId="11" fillId="0" borderId="0" xfId="0" applyFont="1"/>
    <xf numFmtId="0" fontId="2" fillId="0" borderId="5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0" xfId="0" applyFont="1" applyBorder="1"/>
    <xf numFmtId="0" fontId="4" fillId="0" borderId="0" xfId="0" applyFont="1" applyBorder="1"/>
    <xf numFmtId="0" fontId="4" fillId="0" borderId="0" xfId="0" applyFont="1" applyFill="1"/>
    <xf numFmtId="0" fontId="12" fillId="0" borderId="0" xfId="0" applyFont="1" applyFill="1"/>
    <xf numFmtId="0" fontId="5" fillId="0" borderId="0" xfId="0" applyFont="1" applyBorder="1"/>
    <xf numFmtId="0" fontId="4" fillId="0" borderId="0" xfId="0" applyFont="1" applyFill="1" applyBorder="1"/>
    <xf numFmtId="0" fontId="2" fillId="0" borderId="0" xfId="0" applyFont="1" applyFill="1" applyBorder="1"/>
    <xf numFmtId="167" fontId="0" fillId="0" borderId="0" xfId="0" applyNumberFormat="1"/>
    <xf numFmtId="167" fontId="0" fillId="0" borderId="0" xfId="0" applyNumberFormat="1" applyBorder="1"/>
    <xf numFmtId="167" fontId="0" fillId="0" borderId="1" xfId="0" applyNumberFormat="1" applyBorder="1"/>
    <xf numFmtId="2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B050"/>
      <color rgb="FF26FA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4.37 g/L ethanol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'Bazua 1975'!$A$6:$A$10</c:f>
              <c:numCache>
                <c:formatCode>General</c:formatCode>
                <c:ptCount val="5"/>
                <c:pt idx="0">
                  <c:v>7.1999999999999995E-2</c:v>
                </c:pt>
                <c:pt idx="1">
                  <c:v>0.192</c:v>
                </c:pt>
                <c:pt idx="2">
                  <c:v>0.26400000000000001</c:v>
                </c:pt>
                <c:pt idx="3">
                  <c:v>0.27</c:v>
                </c:pt>
                <c:pt idx="4">
                  <c:v>0.42</c:v>
                </c:pt>
              </c:numCache>
            </c:numRef>
          </c:xVal>
          <c:yVal>
            <c:numRef>
              <c:f>'Bazua 1975'!$H$6:$H$10</c:f>
              <c:numCache>
                <c:formatCode>General</c:formatCode>
                <c:ptCount val="5"/>
                <c:pt idx="0">
                  <c:v>0.44889599999999996</c:v>
                </c:pt>
                <c:pt idx="1">
                  <c:v>1.2576000000000003</c:v>
                </c:pt>
                <c:pt idx="2">
                  <c:v>1.8760629921259844</c:v>
                </c:pt>
                <c:pt idx="3">
                  <c:v>1.8984375000000002</c:v>
                </c:pt>
                <c:pt idx="4">
                  <c:v>2.9826086956521745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D7-407C-A876-092B8E24DE7C}"/>
            </c:ext>
          </c:extLst>
        </c:ser>
        <c:ser>
          <c:idx val="1"/>
          <c:order val="1"/>
          <c:tx>
            <c:v>29.19 g/L ethanol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'Bazua 1975'!$A$11:$A$15</c:f>
              <c:numCache>
                <c:formatCode>General</c:formatCode>
                <c:ptCount val="5"/>
                <c:pt idx="0">
                  <c:v>0.06</c:v>
                </c:pt>
                <c:pt idx="1">
                  <c:v>0.13200000000000001</c:v>
                </c:pt>
                <c:pt idx="2">
                  <c:v>0.252</c:v>
                </c:pt>
                <c:pt idx="3">
                  <c:v>0.312</c:v>
                </c:pt>
                <c:pt idx="4">
                  <c:v>0.376</c:v>
                </c:pt>
              </c:numCache>
            </c:numRef>
          </c:xVal>
          <c:yVal>
            <c:numRef>
              <c:f>'Bazua 1975'!$H$11:$H$15</c:f>
              <c:numCache>
                <c:formatCode>General</c:formatCode>
                <c:ptCount val="5"/>
                <c:pt idx="0">
                  <c:v>0.39152173913043486</c:v>
                </c:pt>
                <c:pt idx="1">
                  <c:v>0.9427968000000001</c:v>
                </c:pt>
                <c:pt idx="2">
                  <c:v>2.3482565217391302</c:v>
                </c:pt>
                <c:pt idx="3">
                  <c:v>2.5163478260869572</c:v>
                </c:pt>
                <c:pt idx="4">
                  <c:v>4.7835555555555578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D7-407C-A876-092B8E24DE7C}"/>
            </c:ext>
          </c:extLst>
        </c:ser>
        <c:ser>
          <c:idx val="2"/>
          <c:order val="2"/>
          <c:tx>
            <c:v>61.29 g/L ethanol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'Bazua 1975'!$A$16:$A$19</c:f>
              <c:numCache>
                <c:formatCode>General</c:formatCode>
                <c:ptCount val="4"/>
                <c:pt idx="0">
                  <c:v>7.2999999999999995E-2</c:v>
                </c:pt>
                <c:pt idx="1">
                  <c:v>0.13800000000000001</c:v>
                </c:pt>
                <c:pt idx="2">
                  <c:v>0.20200000000000001</c:v>
                </c:pt>
                <c:pt idx="3">
                  <c:v>0.25800000000000001</c:v>
                </c:pt>
              </c:numCache>
            </c:numRef>
          </c:xVal>
          <c:yVal>
            <c:numRef>
              <c:f>'Bazua 1975'!$H$16:$H$19</c:f>
              <c:numCache>
                <c:formatCode>General</c:formatCode>
                <c:ptCount val="4"/>
                <c:pt idx="0">
                  <c:v>0.51118559322033896</c:v>
                </c:pt>
                <c:pt idx="1">
                  <c:v>1.0825631067961166</c:v>
                </c:pt>
                <c:pt idx="2">
                  <c:v>2.340823529411765</c:v>
                </c:pt>
                <c:pt idx="3">
                  <c:v>2.9946428571428569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D7-407C-A876-092B8E24DE7C}"/>
            </c:ext>
          </c:extLst>
        </c:ser>
        <c:ser>
          <c:idx val="3"/>
          <c:order val="3"/>
          <c:tx>
            <c:v>78.4 g/L ethanol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'Bazua 1975'!$A$20:$A$25</c:f>
              <c:numCache>
                <c:formatCode>General</c:formatCode>
                <c:ptCount val="6"/>
                <c:pt idx="0">
                  <c:v>3.7999999999999999E-2</c:v>
                </c:pt>
                <c:pt idx="1">
                  <c:v>6.9000000000000006E-2</c:v>
                </c:pt>
                <c:pt idx="2">
                  <c:v>7.3999999999999996E-2</c:v>
                </c:pt>
                <c:pt idx="3">
                  <c:v>9.6000000000000002E-2</c:v>
                </c:pt>
                <c:pt idx="4">
                  <c:v>0.10100000000000001</c:v>
                </c:pt>
                <c:pt idx="5">
                  <c:v>0.13800000000000001</c:v>
                </c:pt>
              </c:numCache>
            </c:numRef>
          </c:xVal>
          <c:yVal>
            <c:numRef>
              <c:f>'Bazua 1975'!$H$20:$H$25</c:f>
              <c:numCache>
                <c:formatCode>General</c:formatCode>
                <c:ptCount val="6"/>
                <c:pt idx="0">
                  <c:v>0.31149636363636357</c:v>
                </c:pt>
                <c:pt idx="1">
                  <c:v>0.78465384615384615</c:v>
                </c:pt>
                <c:pt idx="2">
                  <c:v>0.72602222222222224</c:v>
                </c:pt>
                <c:pt idx="3">
                  <c:v>1.5324444444444443</c:v>
                </c:pt>
                <c:pt idx="4">
                  <c:v>2.232358974358974</c:v>
                </c:pt>
                <c:pt idx="5">
                  <c:v>3.2907692307692304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D7-407C-A876-092B8E24D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307512"/>
        <c:axId val="753309480"/>
      </c:scatterChart>
      <c:valAx>
        <c:axId val="753307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 (h-1)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309480"/>
        <c:crosses val="autoZero"/>
        <c:crossBetween val="midCat"/>
      </c:valAx>
      <c:valAx>
        <c:axId val="7533094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-qS (g/g 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307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77449254970368"/>
          <c:y val="5.3512954574911682E-2"/>
          <c:w val="0.72440696204964028"/>
          <c:h val="0.78525849966428618"/>
        </c:manualLayout>
      </c:layout>
      <c:scatterChart>
        <c:scatterStyle val="lineMarker"/>
        <c:varyColors val="0"/>
        <c:ser>
          <c:idx val="1"/>
          <c:order val="0"/>
          <c:tx>
            <c:v>product formation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'Figure 2'!$A$15:$A$161</c:f>
              <c:numCache>
                <c:formatCode>General</c:formatCode>
                <c:ptCount val="14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</c:numCache>
            </c:numRef>
          </c:xVal>
          <c:yVal>
            <c:numRef>
              <c:f>'Figure 2'!$F$15:$F$161</c:f>
              <c:numCache>
                <c:formatCode>General</c:formatCode>
                <c:ptCount val="147"/>
                <c:pt idx="0">
                  <c:v>2.7359911111111104</c:v>
                </c:pt>
                <c:pt idx="1">
                  <c:v>2.7095125219481475</c:v>
                </c:pt>
                <c:pt idx="2">
                  <c:v>2.683009447555555</c:v>
                </c:pt>
                <c:pt idx="3">
                  <c:v>2.6564818879333325</c:v>
                </c:pt>
                <c:pt idx="4">
                  <c:v>2.6299298430814808</c:v>
                </c:pt>
                <c:pt idx="5">
                  <c:v>2.6033533129999999</c:v>
                </c:pt>
                <c:pt idx="6">
                  <c:v>2.5767522976888881</c:v>
                </c:pt>
                <c:pt idx="7">
                  <c:v>2.5501267971481481</c:v>
                </c:pt>
                <c:pt idx="8">
                  <c:v>2.5234768113777775</c:v>
                </c:pt>
                <c:pt idx="9">
                  <c:v>2.4968023403777777</c:v>
                </c:pt>
                <c:pt idx="10">
                  <c:v>2.4701033841481479</c:v>
                </c:pt>
                <c:pt idx="11">
                  <c:v>2.4433799426888885</c:v>
                </c:pt>
                <c:pt idx="12">
                  <c:v>2.4166320159999999</c:v>
                </c:pt>
                <c:pt idx="13">
                  <c:v>2.3898596040814812</c:v>
                </c:pt>
                <c:pt idx="14">
                  <c:v>2.363062706933333</c:v>
                </c:pt>
                <c:pt idx="15">
                  <c:v>2.3362413245555547</c:v>
                </c:pt>
                <c:pt idx="16">
                  <c:v>2.3093954569481481</c:v>
                </c:pt>
                <c:pt idx="17">
                  <c:v>2.2825251041111105</c:v>
                </c:pt>
                <c:pt idx="18">
                  <c:v>2.2556302660444438</c:v>
                </c:pt>
                <c:pt idx="19">
                  <c:v>2.2287109427481484</c:v>
                </c:pt>
                <c:pt idx="20">
                  <c:v>2.2017671342222216</c:v>
                </c:pt>
                <c:pt idx="21">
                  <c:v>2.1747988404666661</c:v>
                </c:pt>
                <c:pt idx="22">
                  <c:v>2.1478060614814818</c:v>
                </c:pt>
                <c:pt idx="23">
                  <c:v>2.1207887972666666</c:v>
                </c:pt>
                <c:pt idx="24">
                  <c:v>2.0937470478222218</c:v>
                </c:pt>
                <c:pt idx="25">
                  <c:v>2.0666808131481482</c:v>
                </c:pt>
                <c:pt idx="26">
                  <c:v>2.0395900932444442</c:v>
                </c:pt>
                <c:pt idx="27">
                  <c:v>2.012474888111111</c:v>
                </c:pt>
                <c:pt idx="28">
                  <c:v>1.9853351977481477</c:v>
                </c:pt>
                <c:pt idx="29">
                  <c:v>1.9581710221555551</c:v>
                </c:pt>
                <c:pt idx="30">
                  <c:v>1.9309823613333335</c:v>
                </c:pt>
                <c:pt idx="31">
                  <c:v>1.9037692152814814</c:v>
                </c:pt>
                <c:pt idx="32">
                  <c:v>1.8765315840000001</c:v>
                </c:pt>
                <c:pt idx="33">
                  <c:v>1.8492694674888888</c:v>
                </c:pt>
                <c:pt idx="34">
                  <c:v>1.8219828657481481</c:v>
                </c:pt>
                <c:pt idx="35">
                  <c:v>1.7946717787777775</c:v>
                </c:pt>
                <c:pt idx="36">
                  <c:v>1.7673362065777776</c:v>
                </c:pt>
                <c:pt idx="37">
                  <c:v>1.7399761491481482</c:v>
                </c:pt>
                <c:pt idx="38">
                  <c:v>1.7125916064888889</c:v>
                </c:pt>
                <c:pt idx="39">
                  <c:v>1.6851825786000001</c:v>
                </c:pt>
                <c:pt idx="40">
                  <c:v>1.6577490654814813</c:v>
                </c:pt>
                <c:pt idx="41">
                  <c:v>1.630291067133333</c:v>
                </c:pt>
                <c:pt idx="42">
                  <c:v>1.6028085835555554</c:v>
                </c:pt>
                <c:pt idx="43">
                  <c:v>1.575301614748148</c:v>
                </c:pt>
                <c:pt idx="44">
                  <c:v>1.547770160711111</c:v>
                </c:pt>
                <c:pt idx="45">
                  <c:v>1.5202142214444441</c:v>
                </c:pt>
                <c:pt idx="46">
                  <c:v>1.492633796948148</c:v>
                </c:pt>
                <c:pt idx="47">
                  <c:v>1.4650288872222221</c:v>
                </c:pt>
                <c:pt idx="48">
                  <c:v>1.4373994922666664</c:v>
                </c:pt>
                <c:pt idx="49">
                  <c:v>1.4097456120814813</c:v>
                </c:pt>
                <c:pt idx="50">
                  <c:v>1.3820672466666666</c:v>
                </c:pt>
                <c:pt idx="51">
                  <c:v>1.3543643960222218</c:v>
                </c:pt>
                <c:pt idx="52">
                  <c:v>1.3266370601481481</c:v>
                </c:pt>
                <c:pt idx="53">
                  <c:v>1.2988852390444439</c:v>
                </c:pt>
                <c:pt idx="54">
                  <c:v>1.2711089327111109</c:v>
                </c:pt>
                <c:pt idx="55">
                  <c:v>1.2433081411481479</c:v>
                </c:pt>
                <c:pt idx="56">
                  <c:v>1.2154828643555551</c:v>
                </c:pt>
                <c:pt idx="57">
                  <c:v>1.1876331023333331</c:v>
                </c:pt>
                <c:pt idx="58">
                  <c:v>1.1597588550814815</c:v>
                </c:pt>
                <c:pt idx="59">
                  <c:v>1.1318601226000002</c:v>
                </c:pt>
                <c:pt idx="60">
                  <c:v>1.1039369048888887</c:v>
                </c:pt>
                <c:pt idx="61">
                  <c:v>1.0759892019481481</c:v>
                </c:pt>
                <c:pt idx="62">
                  <c:v>1.0480170137777776</c:v>
                </c:pt>
                <c:pt idx="63">
                  <c:v>1.0200203403777779</c:v>
                </c:pt>
                <c:pt idx="64">
                  <c:v>0.99199918174814794</c:v>
                </c:pt>
                <c:pt idx="65">
                  <c:v>0.96395353788888871</c:v>
                </c:pt>
                <c:pt idx="66">
                  <c:v>0.9358834088000002</c:v>
                </c:pt>
                <c:pt idx="67">
                  <c:v>0.90778879448148142</c:v>
                </c:pt>
                <c:pt idx="68">
                  <c:v>0.87966969493333325</c:v>
                </c:pt>
                <c:pt idx="69">
                  <c:v>0.85152611015555524</c:v>
                </c:pt>
                <c:pt idx="70">
                  <c:v>0.82335804014814806</c:v>
                </c:pt>
                <c:pt idx="71">
                  <c:v>0.79516548491111105</c:v>
                </c:pt>
                <c:pt idx="72">
                  <c:v>0.76694844444444443</c:v>
                </c:pt>
                <c:pt idx="73">
                  <c:v>0.73870691874814831</c:v>
                </c:pt>
                <c:pt idx="74">
                  <c:v>0.71044090782222213</c:v>
                </c:pt>
                <c:pt idx="75">
                  <c:v>0.68215041166666646</c:v>
                </c:pt>
                <c:pt idx="76">
                  <c:v>0.65383543028148139</c:v>
                </c:pt>
                <c:pt idx="77">
                  <c:v>0.6254959636666666</c:v>
                </c:pt>
                <c:pt idx="78">
                  <c:v>0.59713201182222242</c:v>
                </c:pt>
                <c:pt idx="79">
                  <c:v>0.56874357474814785</c:v>
                </c:pt>
                <c:pt idx="80">
                  <c:v>0.54033065244444423</c:v>
                </c:pt>
                <c:pt idx="81">
                  <c:v>0.51189324491111099</c:v>
                </c:pt>
                <c:pt idx="82">
                  <c:v>0.4834313521481482</c:v>
                </c:pt>
                <c:pt idx="83">
                  <c:v>0.45494497415555563</c:v>
                </c:pt>
                <c:pt idx="84">
                  <c:v>0.426434110933333</c:v>
                </c:pt>
                <c:pt idx="85">
                  <c:v>0.39789876248148143</c:v>
                </c:pt>
                <c:pt idx="86">
                  <c:v>0.36933892880000002</c:v>
                </c:pt>
                <c:pt idx="87">
                  <c:v>0.34075460988888912</c:v>
                </c:pt>
                <c:pt idx="88">
                  <c:v>0.31214580574814793</c:v>
                </c:pt>
                <c:pt idx="89">
                  <c:v>0.28351251637777775</c:v>
                </c:pt>
                <c:pt idx="90">
                  <c:v>0.25485474177777762</c:v>
                </c:pt>
                <c:pt idx="91">
                  <c:v>0.22617248194814818</c:v>
                </c:pt>
                <c:pt idx="92">
                  <c:v>0.1974657368888891</c:v>
                </c:pt>
                <c:pt idx="93">
                  <c:v>0.16873450659999964</c:v>
                </c:pt>
                <c:pt idx="94">
                  <c:v>0.13997879108148142</c:v>
                </c:pt>
                <c:pt idx="95">
                  <c:v>0.11119859033333328</c:v>
                </c:pt>
                <c:pt idx="96">
                  <c:v>8.2393904355555811E-2</c:v>
                </c:pt>
                <c:pt idx="97">
                  <c:v>5.356473314814799E-2</c:v>
                </c:pt>
                <c:pt idx="98">
                  <c:v>2.4711076711111193E-2</c:v>
                </c:pt>
                <c:pt idx="99">
                  <c:v>-4.1670649555554384E-3</c:v>
                </c:pt>
                <c:pt idx="100">
                  <c:v>-3.3069691851851823E-2</c:v>
                </c:pt>
                <c:pt idx="101">
                  <c:v>-6.1996803977777577E-2</c:v>
                </c:pt>
                <c:pt idx="102">
                  <c:v>-9.0948401333333873E-2</c:v>
                </c:pt>
                <c:pt idx="103">
                  <c:v>-0.11992448391851866</c:v>
                </c:pt>
                <c:pt idx="104">
                  <c:v>-0.14892505173333326</c:v>
                </c:pt>
                <c:pt idx="105">
                  <c:v>-0.17795010477777753</c:v>
                </c:pt>
                <c:pt idx="106">
                  <c:v>-0.20699964305185206</c:v>
                </c:pt>
                <c:pt idx="107">
                  <c:v>-0.23607366655555562</c:v>
                </c:pt>
                <c:pt idx="108">
                  <c:v>-0.26517217528888865</c:v>
                </c:pt>
                <c:pt idx="109">
                  <c:v>-0.29429516925185162</c:v>
                </c:pt>
                <c:pt idx="110">
                  <c:v>-0.3234426484444442</c:v>
                </c:pt>
                <c:pt idx="111">
                  <c:v>-0.35261461286666679</c:v>
                </c:pt>
                <c:pt idx="112">
                  <c:v>-0.38181106251851854</c:v>
                </c:pt>
                <c:pt idx="113">
                  <c:v>-0.41103199739999985</c:v>
                </c:pt>
                <c:pt idx="114">
                  <c:v>-0.44027741751111105</c:v>
                </c:pt>
                <c:pt idx="115">
                  <c:v>-0.46954732285185191</c:v>
                </c:pt>
                <c:pt idx="116">
                  <c:v>-0.498841713422222</c:v>
                </c:pt>
                <c:pt idx="117">
                  <c:v>-0.5281605892222222</c:v>
                </c:pt>
                <c:pt idx="118">
                  <c:v>-0.55750395025185173</c:v>
                </c:pt>
                <c:pt idx="119">
                  <c:v>-0.5868717965111111</c:v>
                </c:pt>
                <c:pt idx="120">
                  <c:v>-0.61626412800000008</c:v>
                </c:pt>
                <c:pt idx="121">
                  <c:v>-0.64568094471851822</c:v>
                </c:pt>
                <c:pt idx="122">
                  <c:v>-0.67512224666666654</c:v>
                </c:pt>
                <c:pt idx="123">
                  <c:v>-0.70458803384444424</c:v>
                </c:pt>
                <c:pt idx="124">
                  <c:v>-0.73407830625185178</c:v>
                </c:pt>
                <c:pt idx="125">
                  <c:v>-0.76359306388888848</c:v>
                </c:pt>
                <c:pt idx="126">
                  <c:v>-0.79313230675555546</c:v>
                </c:pt>
                <c:pt idx="127">
                  <c:v>-0.82269603485185161</c:v>
                </c:pt>
                <c:pt idx="128">
                  <c:v>-0.85228424817777759</c:v>
                </c:pt>
                <c:pt idx="129">
                  <c:v>-0.88189694673333341</c:v>
                </c:pt>
                <c:pt idx="130">
                  <c:v>-0.91153413051851861</c:v>
                </c:pt>
                <c:pt idx="131">
                  <c:v>-0.94119579953333277</c:v>
                </c:pt>
                <c:pt idx="132">
                  <c:v>-0.97088195377777742</c:v>
                </c:pt>
                <c:pt idx="133">
                  <c:v>-1.0005925932518518</c:v>
                </c:pt>
                <c:pt idx="134">
                  <c:v>-1.0303277179555557</c:v>
                </c:pt>
                <c:pt idx="135">
                  <c:v>-1.0600873278888887</c:v>
                </c:pt>
                <c:pt idx="136">
                  <c:v>-1.0898714230518516</c:v>
                </c:pt>
                <c:pt idx="137">
                  <c:v>-1.1196800034444436</c:v>
                </c:pt>
                <c:pt idx="138">
                  <c:v>-1.1495130690666666</c:v>
                </c:pt>
                <c:pt idx="139">
                  <c:v>-1.1793706199185188</c:v>
                </c:pt>
                <c:pt idx="140">
                  <c:v>-1.2092526559999996</c:v>
                </c:pt>
                <c:pt idx="141">
                  <c:v>-1.239159177311111</c:v>
                </c:pt>
                <c:pt idx="142">
                  <c:v>-1.269090183851852</c:v>
                </c:pt>
                <c:pt idx="143">
                  <c:v>-1.2990456756222222</c:v>
                </c:pt>
                <c:pt idx="144">
                  <c:v>-1.3290256526222217</c:v>
                </c:pt>
                <c:pt idx="145">
                  <c:v>-1.3590301148518513</c:v>
                </c:pt>
                <c:pt idx="146">
                  <c:v>-1.3890590623111108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59-4705-8DD2-9CF5CE9B1C59}"/>
            </c:ext>
          </c:extLst>
        </c:ser>
        <c:ser>
          <c:idx val="2"/>
          <c:order val="1"/>
          <c:tx>
            <c:v>substrate consumption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2'!$A$15:$A$161</c:f>
              <c:numCache>
                <c:formatCode>General</c:formatCode>
                <c:ptCount val="14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</c:numCache>
            </c:numRef>
          </c:xVal>
          <c:yVal>
            <c:numRef>
              <c:f>'Figure 2'!$D$15:$D$161</c:f>
              <c:numCache>
                <c:formatCode>General</c:formatCode>
                <c:ptCount val="147"/>
                <c:pt idx="0">
                  <c:v>1.4523955555555552</c:v>
                </c:pt>
                <c:pt idx="1">
                  <c:v>1.4379840387518517</c:v>
                </c:pt>
                <c:pt idx="2">
                  <c:v>1.4235602793333331</c:v>
                </c:pt>
                <c:pt idx="3">
                  <c:v>1.4091242772999997</c:v>
                </c:pt>
                <c:pt idx="4">
                  <c:v>1.3946760326518515</c:v>
                </c:pt>
                <c:pt idx="5">
                  <c:v>1.3802155453888887</c:v>
                </c:pt>
                <c:pt idx="6">
                  <c:v>1.3657428155111107</c:v>
                </c:pt>
                <c:pt idx="7">
                  <c:v>1.3512578430185185</c:v>
                </c:pt>
                <c:pt idx="8">
                  <c:v>1.3367606279111111</c:v>
                </c:pt>
                <c:pt idx="9">
                  <c:v>1.3222511701888888</c:v>
                </c:pt>
                <c:pt idx="10">
                  <c:v>1.3077294698518518</c:v>
                </c:pt>
                <c:pt idx="11">
                  <c:v>1.2931955268999997</c:v>
                </c:pt>
                <c:pt idx="12">
                  <c:v>1.2786493413333333</c:v>
                </c:pt>
                <c:pt idx="13">
                  <c:v>1.2640909131518516</c:v>
                </c:pt>
                <c:pt idx="14">
                  <c:v>1.2495202423555554</c:v>
                </c:pt>
                <c:pt idx="15">
                  <c:v>1.2349373289444441</c:v>
                </c:pt>
                <c:pt idx="16">
                  <c:v>1.2203421729185184</c:v>
                </c:pt>
                <c:pt idx="17">
                  <c:v>1.2057347742777775</c:v>
                </c:pt>
                <c:pt idx="18">
                  <c:v>1.1911151330222221</c:v>
                </c:pt>
                <c:pt idx="19">
                  <c:v>1.176483249151852</c:v>
                </c:pt>
                <c:pt idx="20">
                  <c:v>1.1618391226666664</c:v>
                </c:pt>
                <c:pt idx="21">
                  <c:v>1.1471827535666663</c:v>
                </c:pt>
                <c:pt idx="22">
                  <c:v>1.1325141418518518</c:v>
                </c:pt>
                <c:pt idx="23">
                  <c:v>1.1178332875222221</c:v>
                </c:pt>
                <c:pt idx="24">
                  <c:v>1.1031401905777776</c:v>
                </c:pt>
                <c:pt idx="25">
                  <c:v>1.0884348510185184</c:v>
                </c:pt>
                <c:pt idx="26">
                  <c:v>1.0737172688444443</c:v>
                </c:pt>
                <c:pt idx="27">
                  <c:v>1.0589874440555553</c:v>
                </c:pt>
                <c:pt idx="28">
                  <c:v>1.0442453766518516</c:v>
                </c:pt>
                <c:pt idx="29">
                  <c:v>1.029491066633333</c:v>
                </c:pt>
                <c:pt idx="30">
                  <c:v>1.0147245140000001</c:v>
                </c:pt>
                <c:pt idx="31">
                  <c:v>0.99994571875185179</c:v>
                </c:pt>
                <c:pt idx="32">
                  <c:v>0.98515468088888891</c:v>
                </c:pt>
                <c:pt idx="33">
                  <c:v>0.97035140041111112</c:v>
                </c:pt>
                <c:pt idx="34">
                  <c:v>0.95553587731851852</c:v>
                </c:pt>
                <c:pt idx="35">
                  <c:v>0.94070811161111101</c:v>
                </c:pt>
                <c:pt idx="36">
                  <c:v>0.9258681032888888</c:v>
                </c:pt>
                <c:pt idx="37">
                  <c:v>0.91101585235185178</c:v>
                </c:pt>
                <c:pt idx="38">
                  <c:v>0.89615135879999996</c:v>
                </c:pt>
                <c:pt idx="39">
                  <c:v>0.88127462263333334</c:v>
                </c:pt>
                <c:pt idx="40">
                  <c:v>0.86638564385185179</c:v>
                </c:pt>
                <c:pt idx="41">
                  <c:v>0.85148442245555545</c:v>
                </c:pt>
                <c:pt idx="42">
                  <c:v>0.8365709584444444</c:v>
                </c:pt>
                <c:pt idx="43">
                  <c:v>0.82164525181851855</c:v>
                </c:pt>
                <c:pt idx="44">
                  <c:v>0.80670730257777756</c:v>
                </c:pt>
                <c:pt idx="45">
                  <c:v>0.79175711072222199</c:v>
                </c:pt>
                <c:pt idx="46">
                  <c:v>0.77679467625185172</c:v>
                </c:pt>
                <c:pt idx="47">
                  <c:v>0.76181999916666665</c:v>
                </c:pt>
                <c:pt idx="48">
                  <c:v>0.74683307946666655</c:v>
                </c:pt>
                <c:pt idx="49">
                  <c:v>0.73183391715185175</c:v>
                </c:pt>
                <c:pt idx="50">
                  <c:v>0.71682251222222215</c:v>
                </c:pt>
                <c:pt idx="51">
                  <c:v>0.70179886467777763</c:v>
                </c:pt>
                <c:pt idx="52">
                  <c:v>0.68676297451851842</c:v>
                </c:pt>
                <c:pt idx="53">
                  <c:v>0.67171484174444429</c:v>
                </c:pt>
                <c:pt idx="54">
                  <c:v>0.65665446635555547</c:v>
                </c:pt>
                <c:pt idx="55">
                  <c:v>0.64158184835185172</c:v>
                </c:pt>
                <c:pt idx="56">
                  <c:v>0.62649698773333318</c:v>
                </c:pt>
                <c:pt idx="57">
                  <c:v>0.61139988449999993</c:v>
                </c:pt>
                <c:pt idx="58">
                  <c:v>0.59629053865185178</c:v>
                </c:pt>
                <c:pt idx="59">
                  <c:v>0.58116895018888892</c:v>
                </c:pt>
                <c:pt idx="60">
                  <c:v>0.56603511911111104</c:v>
                </c:pt>
                <c:pt idx="61">
                  <c:v>0.55088904541851846</c:v>
                </c:pt>
                <c:pt idx="62">
                  <c:v>0.53573072911111097</c:v>
                </c:pt>
                <c:pt idx="63">
                  <c:v>0.52056017018888889</c:v>
                </c:pt>
                <c:pt idx="64">
                  <c:v>0.50537736865185179</c:v>
                </c:pt>
                <c:pt idx="65">
                  <c:v>0.49018232449999993</c:v>
                </c:pt>
                <c:pt idx="66">
                  <c:v>0.47497503773333344</c:v>
                </c:pt>
                <c:pt idx="67">
                  <c:v>0.45975550835185175</c:v>
                </c:pt>
                <c:pt idx="68">
                  <c:v>0.44452373635555548</c:v>
                </c:pt>
                <c:pt idx="69">
                  <c:v>0.42927972174444434</c:v>
                </c:pt>
                <c:pt idx="70">
                  <c:v>0.41402346451851851</c:v>
                </c:pt>
                <c:pt idx="71">
                  <c:v>0.39875496467777771</c:v>
                </c:pt>
                <c:pt idx="72">
                  <c:v>0.38347422222222216</c:v>
                </c:pt>
                <c:pt idx="73">
                  <c:v>0.36818123715185191</c:v>
                </c:pt>
                <c:pt idx="74">
                  <c:v>0.3528760094666667</c:v>
                </c:pt>
                <c:pt idx="75">
                  <c:v>0.3375585391666665</c:v>
                </c:pt>
                <c:pt idx="76">
                  <c:v>0.32222882625185179</c:v>
                </c:pt>
                <c:pt idx="77">
                  <c:v>0.3068868707222222</c:v>
                </c:pt>
                <c:pt idx="78">
                  <c:v>0.29153267257777787</c:v>
                </c:pt>
                <c:pt idx="79">
                  <c:v>0.27616623181851835</c:v>
                </c:pt>
                <c:pt idx="80">
                  <c:v>0.26078754844444435</c:v>
                </c:pt>
                <c:pt idx="81">
                  <c:v>0.24539662245555552</c:v>
                </c:pt>
                <c:pt idx="82">
                  <c:v>0.22999345385185188</c:v>
                </c:pt>
                <c:pt idx="83">
                  <c:v>0.21457804263333341</c:v>
                </c:pt>
                <c:pt idx="84">
                  <c:v>0.19915038879999986</c:v>
                </c:pt>
                <c:pt idx="85">
                  <c:v>0.18371049235185183</c:v>
                </c:pt>
                <c:pt idx="86">
                  <c:v>0.16825835328888891</c:v>
                </c:pt>
                <c:pt idx="87">
                  <c:v>0.15279397161111122</c:v>
                </c:pt>
                <c:pt idx="88">
                  <c:v>0.13731734731851841</c:v>
                </c:pt>
                <c:pt idx="89">
                  <c:v>0.12182848041111108</c:v>
                </c:pt>
                <c:pt idx="90">
                  <c:v>0.10632737088888883</c:v>
                </c:pt>
                <c:pt idx="91">
                  <c:v>9.0814018751851869E-2</c:v>
                </c:pt>
                <c:pt idx="92">
                  <c:v>7.5288424000000118E-2</c:v>
                </c:pt>
                <c:pt idx="93">
                  <c:v>5.9750586633333144E-2</c:v>
                </c:pt>
                <c:pt idx="94">
                  <c:v>4.4200506651851823E-2</c:v>
                </c:pt>
                <c:pt idx="95">
                  <c:v>2.8638184055555523E-2</c:v>
                </c:pt>
                <c:pt idx="96">
                  <c:v>1.3063618844444585E-2</c:v>
                </c:pt>
                <c:pt idx="97">
                  <c:v>-2.5231889814815675E-3</c:v>
                </c:pt>
                <c:pt idx="98">
                  <c:v>-1.8122239422222179E-2</c:v>
                </c:pt>
                <c:pt idx="99">
                  <c:v>-3.3733532477777717E-2</c:v>
                </c:pt>
                <c:pt idx="100">
                  <c:v>-4.9357068148148123E-2</c:v>
                </c:pt>
                <c:pt idx="101">
                  <c:v>-6.4992846433333223E-2</c:v>
                </c:pt>
                <c:pt idx="102">
                  <c:v>-8.0640867333333602E-2</c:v>
                </c:pt>
                <c:pt idx="103">
                  <c:v>-9.6301130848148203E-2</c:v>
                </c:pt>
                <c:pt idx="104">
                  <c:v>-0.11197363697777774</c:v>
                </c:pt>
                <c:pt idx="105">
                  <c:v>-0.1276583857222221</c:v>
                </c:pt>
                <c:pt idx="106">
                  <c:v>-0.14335537708148161</c:v>
                </c:pt>
                <c:pt idx="107">
                  <c:v>-0.15906461105555558</c:v>
                </c:pt>
                <c:pt idx="108">
                  <c:v>-0.17478608764444434</c:v>
                </c:pt>
                <c:pt idx="109">
                  <c:v>-0.19051980684814801</c:v>
                </c:pt>
                <c:pt idx="110">
                  <c:v>-0.20626576866666652</c:v>
                </c:pt>
                <c:pt idx="111">
                  <c:v>-0.22202397310000008</c:v>
                </c:pt>
                <c:pt idx="112">
                  <c:v>-0.23779442014814814</c:v>
                </c:pt>
                <c:pt idx="113">
                  <c:v>-0.25357710981111103</c:v>
                </c:pt>
                <c:pt idx="114">
                  <c:v>-0.26937204208888882</c:v>
                </c:pt>
                <c:pt idx="115">
                  <c:v>-0.28517921698148152</c:v>
                </c:pt>
                <c:pt idx="116">
                  <c:v>-0.30099863448888881</c:v>
                </c:pt>
                <c:pt idx="117">
                  <c:v>-0.31683029461111112</c:v>
                </c:pt>
                <c:pt idx="118">
                  <c:v>-0.33267419734814807</c:v>
                </c:pt>
                <c:pt idx="119">
                  <c:v>-0.3485303427</c:v>
                </c:pt>
                <c:pt idx="120">
                  <c:v>-0.36439873066666673</c:v>
                </c:pt>
                <c:pt idx="121">
                  <c:v>-0.38027936124814804</c:v>
                </c:pt>
                <c:pt idx="122">
                  <c:v>-0.39617223444444433</c:v>
                </c:pt>
                <c:pt idx="123">
                  <c:v>-0.41207735025555542</c:v>
                </c:pt>
                <c:pt idx="124">
                  <c:v>-0.42799470868148148</c:v>
                </c:pt>
                <c:pt idx="125">
                  <c:v>-0.44392430972222202</c:v>
                </c:pt>
                <c:pt idx="126">
                  <c:v>-0.4598661533777777</c:v>
                </c:pt>
                <c:pt idx="127">
                  <c:v>-0.47582023964814801</c:v>
                </c:pt>
                <c:pt idx="128">
                  <c:v>-0.49178656853333325</c:v>
                </c:pt>
                <c:pt idx="129">
                  <c:v>-0.5077651400333334</c:v>
                </c:pt>
                <c:pt idx="130">
                  <c:v>-0.52375595414814813</c:v>
                </c:pt>
                <c:pt idx="131">
                  <c:v>-0.53975901087777745</c:v>
                </c:pt>
                <c:pt idx="132">
                  <c:v>-0.55577431022222201</c:v>
                </c:pt>
                <c:pt idx="133">
                  <c:v>-0.5718018521814815</c:v>
                </c:pt>
                <c:pt idx="134">
                  <c:v>-0.58784163675555556</c:v>
                </c:pt>
                <c:pt idx="135">
                  <c:v>-0.60389366394444433</c:v>
                </c:pt>
                <c:pt idx="136">
                  <c:v>-0.619957933748148</c:v>
                </c:pt>
                <c:pt idx="137">
                  <c:v>-0.63603444616666627</c:v>
                </c:pt>
                <c:pt idx="138">
                  <c:v>-0.6521232012</c:v>
                </c:pt>
                <c:pt idx="139">
                  <c:v>-0.66822419884814821</c:v>
                </c:pt>
                <c:pt idx="140">
                  <c:v>-0.684337439111111</c:v>
                </c:pt>
                <c:pt idx="141">
                  <c:v>-0.70046292198888882</c:v>
                </c:pt>
                <c:pt idx="142">
                  <c:v>-0.71660064748148156</c:v>
                </c:pt>
                <c:pt idx="143">
                  <c:v>-0.73275061558888877</c:v>
                </c:pt>
                <c:pt idx="144">
                  <c:v>-0.74891282631111089</c:v>
                </c:pt>
                <c:pt idx="145">
                  <c:v>-0.76508727964814793</c:v>
                </c:pt>
                <c:pt idx="146">
                  <c:v>-0.78127397559999989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59-4705-8DD2-9CF5CE9B1C59}"/>
            </c:ext>
          </c:extLst>
        </c:ser>
        <c:ser>
          <c:idx val="4"/>
          <c:order val="3"/>
          <c:tx>
            <c:v>Growth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'Figure 2'!$A$15:$A$105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xVal>
          <c:yVal>
            <c:numRef>
              <c:f>'Figure 2'!$B$15:$B$105</c:f>
              <c:numCache>
                <c:formatCode>General</c:formatCode>
                <c:ptCount val="91"/>
                <c:pt idx="0">
                  <c:v>0.48</c:v>
                </c:pt>
                <c:pt idx="1">
                  <c:v>0.47333333333333333</c:v>
                </c:pt>
                <c:pt idx="2">
                  <c:v>0.46666666666666662</c:v>
                </c:pt>
                <c:pt idx="3">
                  <c:v>0.46</c:v>
                </c:pt>
                <c:pt idx="4">
                  <c:v>0.45333333333333331</c:v>
                </c:pt>
                <c:pt idx="5">
                  <c:v>0.44666666666666666</c:v>
                </c:pt>
                <c:pt idx="6">
                  <c:v>0.43999999999999995</c:v>
                </c:pt>
                <c:pt idx="7">
                  <c:v>0.43333333333333335</c:v>
                </c:pt>
                <c:pt idx="8">
                  <c:v>0.42666666666666664</c:v>
                </c:pt>
                <c:pt idx="9">
                  <c:v>0.42</c:v>
                </c:pt>
                <c:pt idx="10">
                  <c:v>0.41333333333333333</c:v>
                </c:pt>
                <c:pt idx="11">
                  <c:v>0.40666666666666662</c:v>
                </c:pt>
                <c:pt idx="12">
                  <c:v>0.4</c:v>
                </c:pt>
                <c:pt idx="13">
                  <c:v>0.39333333333333331</c:v>
                </c:pt>
                <c:pt idx="14">
                  <c:v>0.38666666666666666</c:v>
                </c:pt>
                <c:pt idx="15">
                  <c:v>0.37999999999999995</c:v>
                </c:pt>
                <c:pt idx="16">
                  <c:v>0.37333333333333335</c:v>
                </c:pt>
                <c:pt idx="17">
                  <c:v>0.36666666666666664</c:v>
                </c:pt>
                <c:pt idx="18">
                  <c:v>0.36</c:v>
                </c:pt>
                <c:pt idx="19">
                  <c:v>0.35333333333333333</c:v>
                </c:pt>
                <c:pt idx="20">
                  <c:v>0.34666666666666662</c:v>
                </c:pt>
                <c:pt idx="21">
                  <c:v>0.33999999999999997</c:v>
                </c:pt>
                <c:pt idx="22">
                  <c:v>0.33333333333333331</c:v>
                </c:pt>
                <c:pt idx="23">
                  <c:v>0.32666666666666666</c:v>
                </c:pt>
                <c:pt idx="24">
                  <c:v>0.32</c:v>
                </c:pt>
                <c:pt idx="25">
                  <c:v>0.31333333333333335</c:v>
                </c:pt>
                <c:pt idx="26">
                  <c:v>0.30666666666666664</c:v>
                </c:pt>
                <c:pt idx="27">
                  <c:v>0.3</c:v>
                </c:pt>
                <c:pt idx="28">
                  <c:v>0.29333333333333333</c:v>
                </c:pt>
                <c:pt idx="29">
                  <c:v>0.28666666666666663</c:v>
                </c:pt>
                <c:pt idx="30">
                  <c:v>0.27999999999999997</c:v>
                </c:pt>
                <c:pt idx="31">
                  <c:v>0.27333333333333332</c:v>
                </c:pt>
                <c:pt idx="32">
                  <c:v>0.26666666666666666</c:v>
                </c:pt>
                <c:pt idx="33">
                  <c:v>0.26</c:v>
                </c:pt>
                <c:pt idx="34">
                  <c:v>0.25333333333333335</c:v>
                </c:pt>
                <c:pt idx="35">
                  <c:v>0.24666666666666665</c:v>
                </c:pt>
                <c:pt idx="36">
                  <c:v>0.24</c:v>
                </c:pt>
                <c:pt idx="37">
                  <c:v>0.23333333333333334</c:v>
                </c:pt>
                <c:pt idx="38">
                  <c:v>0.22666666666666666</c:v>
                </c:pt>
                <c:pt idx="39">
                  <c:v>0.22</c:v>
                </c:pt>
                <c:pt idx="40">
                  <c:v>0.21333333333333332</c:v>
                </c:pt>
                <c:pt idx="41">
                  <c:v>0.20666666666666667</c:v>
                </c:pt>
                <c:pt idx="42">
                  <c:v>0.19999999999999998</c:v>
                </c:pt>
                <c:pt idx="43">
                  <c:v>0.19333333333333333</c:v>
                </c:pt>
                <c:pt idx="44">
                  <c:v>0.18666666666666665</c:v>
                </c:pt>
                <c:pt idx="45">
                  <c:v>0.18</c:v>
                </c:pt>
                <c:pt idx="46">
                  <c:v>0.17333333333333334</c:v>
                </c:pt>
                <c:pt idx="47">
                  <c:v>0.16666666666666666</c:v>
                </c:pt>
                <c:pt idx="48">
                  <c:v>0.16</c:v>
                </c:pt>
                <c:pt idx="49">
                  <c:v>0.15333333333333332</c:v>
                </c:pt>
                <c:pt idx="50">
                  <c:v>0.14666666666666667</c:v>
                </c:pt>
                <c:pt idx="51">
                  <c:v>0.13999999999999999</c:v>
                </c:pt>
                <c:pt idx="52">
                  <c:v>0.13333333333333333</c:v>
                </c:pt>
                <c:pt idx="53">
                  <c:v>0.12666666666666665</c:v>
                </c:pt>
                <c:pt idx="54">
                  <c:v>0.12</c:v>
                </c:pt>
                <c:pt idx="55">
                  <c:v>0.11333333333333336</c:v>
                </c:pt>
                <c:pt idx="56">
                  <c:v>0.10666666666666666</c:v>
                </c:pt>
                <c:pt idx="57">
                  <c:v>0.10000000000000002</c:v>
                </c:pt>
                <c:pt idx="58">
                  <c:v>9.3333333333333324E-2</c:v>
                </c:pt>
                <c:pt idx="59">
                  <c:v>8.666666666666667E-2</c:v>
                </c:pt>
                <c:pt idx="60">
                  <c:v>7.9999999999999974E-2</c:v>
                </c:pt>
                <c:pt idx="61">
                  <c:v>7.3333333333333334E-2</c:v>
                </c:pt>
                <c:pt idx="62">
                  <c:v>6.6666666666666638E-2</c:v>
                </c:pt>
                <c:pt idx="63">
                  <c:v>0.06</c:v>
                </c:pt>
                <c:pt idx="64">
                  <c:v>5.3333333333333358E-2</c:v>
                </c:pt>
                <c:pt idx="65">
                  <c:v>4.6666666666666662E-2</c:v>
                </c:pt>
                <c:pt idx="66">
                  <c:v>4.0000000000000015E-2</c:v>
                </c:pt>
                <c:pt idx="67">
                  <c:v>3.3333333333333319E-2</c:v>
                </c:pt>
                <c:pt idx="68">
                  <c:v>2.6666666666666679E-2</c:v>
                </c:pt>
                <c:pt idx="69">
                  <c:v>1.9999999999999983E-2</c:v>
                </c:pt>
                <c:pt idx="70">
                  <c:v>1.3333333333333339E-2</c:v>
                </c:pt>
                <c:pt idx="71">
                  <c:v>6.6666666666666428E-3</c:v>
                </c:pt>
                <c:pt idx="72">
                  <c:v>0</c:v>
                </c:pt>
                <c:pt idx="73">
                  <c:v>-6.6666666666666428E-3</c:v>
                </c:pt>
                <c:pt idx="74">
                  <c:v>-1.3333333333333286E-2</c:v>
                </c:pt>
                <c:pt idx="75">
                  <c:v>-2.0000000000000035E-2</c:v>
                </c:pt>
                <c:pt idx="76">
                  <c:v>-2.6666666666666679E-2</c:v>
                </c:pt>
                <c:pt idx="77">
                  <c:v>-3.3333333333333319E-2</c:v>
                </c:pt>
                <c:pt idx="78">
                  <c:v>-3.9999999999999966E-2</c:v>
                </c:pt>
                <c:pt idx="79">
                  <c:v>-4.666666666666671E-2</c:v>
                </c:pt>
                <c:pt idx="80">
                  <c:v>-5.3333333333333358E-2</c:v>
                </c:pt>
                <c:pt idx="81">
                  <c:v>-0.06</c:v>
                </c:pt>
                <c:pt idx="82">
                  <c:v>-6.6666666666666638E-2</c:v>
                </c:pt>
                <c:pt idx="83">
                  <c:v>-7.3333333333333278E-2</c:v>
                </c:pt>
                <c:pt idx="84">
                  <c:v>-8.0000000000000029E-2</c:v>
                </c:pt>
                <c:pt idx="85">
                  <c:v>-8.666666666666667E-2</c:v>
                </c:pt>
                <c:pt idx="86">
                  <c:v>-9.3333333333333324E-2</c:v>
                </c:pt>
                <c:pt idx="87">
                  <c:v>-9.9999999999999964E-2</c:v>
                </c:pt>
                <c:pt idx="88">
                  <c:v>-0.10666666666666672</c:v>
                </c:pt>
                <c:pt idx="89">
                  <c:v>-0.11333333333333336</c:v>
                </c:pt>
                <c:pt idx="90">
                  <c:v>-0.12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36-4723-881F-33BDA46B838A}"/>
            </c:ext>
          </c:extLst>
        </c:ser>
        <c:ser>
          <c:idx val="0"/>
          <c:order val="4"/>
          <c:tx>
            <c:v>Growth Huang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'Figure 2'!$A$172:$A$176</c:f>
              <c:numCache>
                <c:formatCode>0.00</c:formatCode>
                <c:ptCount val="5"/>
                <c:pt idx="0">
                  <c:v>2.62</c:v>
                </c:pt>
                <c:pt idx="1">
                  <c:v>17.670000000000002</c:v>
                </c:pt>
                <c:pt idx="2">
                  <c:v>31.44</c:v>
                </c:pt>
                <c:pt idx="3">
                  <c:v>42.64</c:v>
                </c:pt>
                <c:pt idx="4">
                  <c:v>60.08</c:v>
                </c:pt>
              </c:numCache>
            </c:numRef>
          </c:xVal>
          <c:yVal>
            <c:numRef>
              <c:f>'Figure 2'!$B$172:$B$176</c:f>
              <c:numCache>
                <c:formatCode>0.00</c:formatCode>
                <c:ptCount val="5"/>
                <c:pt idx="0">
                  <c:v>0.47484181769795097</c:v>
                </c:pt>
                <c:pt idx="1">
                  <c:v>0.36996518631566899</c:v>
                </c:pt>
                <c:pt idx="2">
                  <c:v>0.27382890784964298</c:v>
                </c:pt>
                <c:pt idx="3">
                  <c:v>0.195173335216132</c:v>
                </c:pt>
                <c:pt idx="4">
                  <c:v>8.1000000000000003E-2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FB-44EF-B9CC-B8E1C3754715}"/>
            </c:ext>
          </c:extLst>
        </c:ser>
        <c:ser>
          <c:idx val="5"/>
          <c:order val="5"/>
          <c:tx>
            <c:v>Product formation Huang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dPt>
            <c:idx val="1"/>
            <c:marker>
              <c:symbol val="circle"/>
              <c:size val="6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3BFB-44EF-B9CC-B8E1C3754715}"/>
              </c:ext>
            </c:extLst>
          </c:dPt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'Figure 2'!$A$171:$A$172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2.62</c:v>
                </c:pt>
              </c:numCache>
            </c:numRef>
          </c:xVal>
          <c:yVal>
            <c:numRef>
              <c:f>'Figure 2'!$F$171:$F$172</c:f>
              <c:numCache>
                <c:formatCode>General</c:formatCode>
                <c:ptCount val="2"/>
                <c:pt idx="0">
                  <c:v>2.7598695652173912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FB-44EF-B9CC-B8E1C3754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84240"/>
        <c:axId val="688278336"/>
      </c:scatterChart>
      <c:scatterChart>
        <c:scatterStyle val="lineMarker"/>
        <c:varyColors val="0"/>
        <c:ser>
          <c:idx val="3"/>
          <c:order val="2"/>
          <c:tx>
            <c:v>maintenance</c:v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2'!$A$15:$A$161</c:f>
              <c:numCache>
                <c:formatCode>General</c:formatCode>
                <c:ptCount val="14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</c:numCache>
            </c:numRef>
          </c:xVal>
          <c:yVal>
            <c:numRef>
              <c:f>'Figure 2'!$H$15:$H$161</c:f>
              <c:numCache>
                <c:formatCode>General</c:formatCode>
                <c:ptCount val="147"/>
                <c:pt idx="0">
                  <c:v>0.26122222222222219</c:v>
                </c:pt>
                <c:pt idx="1">
                  <c:v>0.26292016666666662</c:v>
                </c:pt>
                <c:pt idx="2">
                  <c:v>0.26461811111111105</c:v>
                </c:pt>
                <c:pt idx="3">
                  <c:v>0.26631605555555554</c:v>
                </c:pt>
                <c:pt idx="4">
                  <c:v>0.26801399999999997</c:v>
                </c:pt>
                <c:pt idx="5">
                  <c:v>0.26971194444444441</c:v>
                </c:pt>
                <c:pt idx="6">
                  <c:v>0.27140988888888884</c:v>
                </c:pt>
                <c:pt idx="7">
                  <c:v>0.27310783333333333</c:v>
                </c:pt>
                <c:pt idx="8">
                  <c:v>0.27480577777777776</c:v>
                </c:pt>
                <c:pt idx="9">
                  <c:v>0.27650372222222219</c:v>
                </c:pt>
                <c:pt idx="10">
                  <c:v>0.27820166666666662</c:v>
                </c:pt>
                <c:pt idx="11">
                  <c:v>0.27989961111111106</c:v>
                </c:pt>
                <c:pt idx="12">
                  <c:v>0.28159755555555555</c:v>
                </c:pt>
                <c:pt idx="13">
                  <c:v>0.28329549999999998</c:v>
                </c:pt>
                <c:pt idx="14">
                  <c:v>0.28499344444444441</c:v>
                </c:pt>
                <c:pt idx="15">
                  <c:v>0.28669138888888884</c:v>
                </c:pt>
                <c:pt idx="16">
                  <c:v>0.28838933333333333</c:v>
                </c:pt>
                <c:pt idx="17">
                  <c:v>0.29008727777777776</c:v>
                </c:pt>
                <c:pt idx="18">
                  <c:v>0.2917852222222222</c:v>
                </c:pt>
                <c:pt idx="19">
                  <c:v>0.29348316666666663</c:v>
                </c:pt>
                <c:pt idx="20">
                  <c:v>0.29518111111111106</c:v>
                </c:pt>
                <c:pt idx="21">
                  <c:v>0.29687905555555555</c:v>
                </c:pt>
                <c:pt idx="22">
                  <c:v>0.29857699999999998</c:v>
                </c:pt>
                <c:pt idx="23">
                  <c:v>0.30027494444444441</c:v>
                </c:pt>
                <c:pt idx="24">
                  <c:v>0.30197288888888885</c:v>
                </c:pt>
                <c:pt idx="25">
                  <c:v>0.30367083333333333</c:v>
                </c:pt>
                <c:pt idx="26">
                  <c:v>0.30536877777777777</c:v>
                </c:pt>
                <c:pt idx="27">
                  <c:v>0.3070667222222222</c:v>
                </c:pt>
                <c:pt idx="28">
                  <c:v>0.30876466666666663</c:v>
                </c:pt>
                <c:pt idx="29">
                  <c:v>0.31046261111111106</c:v>
                </c:pt>
                <c:pt idx="30">
                  <c:v>0.31216055555555555</c:v>
                </c:pt>
                <c:pt idx="31">
                  <c:v>0.31385849999999998</c:v>
                </c:pt>
                <c:pt idx="32">
                  <c:v>0.31555644444444442</c:v>
                </c:pt>
                <c:pt idx="33">
                  <c:v>0.31725438888888885</c:v>
                </c:pt>
                <c:pt idx="34">
                  <c:v>0.31895233333333334</c:v>
                </c:pt>
                <c:pt idx="35">
                  <c:v>0.32065027777777777</c:v>
                </c:pt>
                <c:pt idx="36">
                  <c:v>0.3223482222222222</c:v>
                </c:pt>
                <c:pt idx="37">
                  <c:v>0.32404616666666664</c:v>
                </c:pt>
                <c:pt idx="38">
                  <c:v>0.32574411111111107</c:v>
                </c:pt>
                <c:pt idx="39">
                  <c:v>0.32744205555555556</c:v>
                </c:pt>
                <c:pt idx="40">
                  <c:v>0.32913999999999999</c:v>
                </c:pt>
                <c:pt idx="41">
                  <c:v>0.33083794444444442</c:v>
                </c:pt>
                <c:pt idx="42">
                  <c:v>0.33253588888888885</c:v>
                </c:pt>
                <c:pt idx="43">
                  <c:v>0.33423383333333334</c:v>
                </c:pt>
                <c:pt idx="44">
                  <c:v>0.33593177777777777</c:v>
                </c:pt>
                <c:pt idx="45">
                  <c:v>0.33762972222222221</c:v>
                </c:pt>
                <c:pt idx="46">
                  <c:v>0.33932766666666664</c:v>
                </c:pt>
                <c:pt idx="47">
                  <c:v>0.34102561111111107</c:v>
                </c:pt>
                <c:pt idx="48">
                  <c:v>0.34272355555555556</c:v>
                </c:pt>
                <c:pt idx="49">
                  <c:v>0.34442149999999999</c:v>
                </c:pt>
                <c:pt idx="50">
                  <c:v>0.34611944444444442</c:v>
                </c:pt>
                <c:pt idx="51">
                  <c:v>0.34781738888888886</c:v>
                </c:pt>
                <c:pt idx="52">
                  <c:v>0.34951533333333329</c:v>
                </c:pt>
                <c:pt idx="53">
                  <c:v>0.35121327777777772</c:v>
                </c:pt>
                <c:pt idx="54">
                  <c:v>0.35291122222222215</c:v>
                </c:pt>
                <c:pt idx="55">
                  <c:v>0.35460916666666659</c:v>
                </c:pt>
                <c:pt idx="56">
                  <c:v>0.35630711111111102</c:v>
                </c:pt>
                <c:pt idx="57">
                  <c:v>0.35800505555555551</c:v>
                </c:pt>
                <c:pt idx="58">
                  <c:v>0.35970299999999994</c:v>
                </c:pt>
                <c:pt idx="59">
                  <c:v>0.36140094444444437</c:v>
                </c:pt>
                <c:pt idx="60">
                  <c:v>0.3630988888888888</c:v>
                </c:pt>
                <c:pt idx="61">
                  <c:v>0.36479683333333335</c:v>
                </c:pt>
                <c:pt idx="62">
                  <c:v>0.36649477777777778</c:v>
                </c:pt>
                <c:pt idx="63">
                  <c:v>0.36819272222222221</c:v>
                </c:pt>
                <c:pt idx="64">
                  <c:v>0.36989066666666659</c:v>
                </c:pt>
                <c:pt idx="65">
                  <c:v>0.37158861111111108</c:v>
                </c:pt>
                <c:pt idx="66">
                  <c:v>0.37328655555555557</c:v>
                </c:pt>
                <c:pt idx="67">
                  <c:v>0.37498449999999994</c:v>
                </c:pt>
                <c:pt idx="68">
                  <c:v>0.37668244444444443</c:v>
                </c:pt>
                <c:pt idx="69">
                  <c:v>0.37838038888888881</c:v>
                </c:pt>
                <c:pt idx="70">
                  <c:v>0.3800783333333333</c:v>
                </c:pt>
                <c:pt idx="71">
                  <c:v>0.38177627777777778</c:v>
                </c:pt>
                <c:pt idx="72">
                  <c:v>0.38347422222222216</c:v>
                </c:pt>
                <c:pt idx="73">
                  <c:v>0.38517216666666665</c:v>
                </c:pt>
                <c:pt idx="74">
                  <c:v>0.38687011111111103</c:v>
                </c:pt>
                <c:pt idx="75">
                  <c:v>0.38856805555555551</c:v>
                </c:pt>
                <c:pt idx="76">
                  <c:v>0.39026599999999995</c:v>
                </c:pt>
                <c:pt idx="77">
                  <c:v>0.39196394444444438</c:v>
                </c:pt>
                <c:pt idx="78">
                  <c:v>0.39366188888888892</c:v>
                </c:pt>
                <c:pt idx="79">
                  <c:v>0.3953598333333333</c:v>
                </c:pt>
                <c:pt idx="80">
                  <c:v>0.39705777777777779</c:v>
                </c:pt>
                <c:pt idx="81">
                  <c:v>0.39875572222222216</c:v>
                </c:pt>
                <c:pt idx="82">
                  <c:v>0.4004536666666666</c:v>
                </c:pt>
                <c:pt idx="83">
                  <c:v>0.40215161111111103</c:v>
                </c:pt>
                <c:pt idx="84">
                  <c:v>0.40384955555555546</c:v>
                </c:pt>
                <c:pt idx="85">
                  <c:v>0.40554750000000001</c:v>
                </c:pt>
                <c:pt idx="86">
                  <c:v>0.40724544444444438</c:v>
                </c:pt>
                <c:pt idx="87">
                  <c:v>0.40894338888888887</c:v>
                </c:pt>
                <c:pt idx="88">
                  <c:v>0.41064133333333336</c:v>
                </c:pt>
                <c:pt idx="89">
                  <c:v>0.41233927777777774</c:v>
                </c:pt>
                <c:pt idx="90">
                  <c:v>0.41403722222222222</c:v>
                </c:pt>
                <c:pt idx="91">
                  <c:v>0.4157351666666666</c:v>
                </c:pt>
                <c:pt idx="92">
                  <c:v>0.41743311111111109</c:v>
                </c:pt>
                <c:pt idx="93">
                  <c:v>0.41913105555555547</c:v>
                </c:pt>
                <c:pt idx="94">
                  <c:v>0.42082899999999995</c:v>
                </c:pt>
                <c:pt idx="95">
                  <c:v>0.42252694444444444</c:v>
                </c:pt>
                <c:pt idx="96">
                  <c:v>0.42422488888888887</c:v>
                </c:pt>
                <c:pt idx="97">
                  <c:v>0.42592283333333331</c:v>
                </c:pt>
                <c:pt idx="98">
                  <c:v>0.42762077777777774</c:v>
                </c:pt>
                <c:pt idx="99">
                  <c:v>0.42931872222222217</c:v>
                </c:pt>
                <c:pt idx="100">
                  <c:v>0.43101666666666666</c:v>
                </c:pt>
                <c:pt idx="101">
                  <c:v>0.43271461111111104</c:v>
                </c:pt>
                <c:pt idx="102">
                  <c:v>0.43441255555555552</c:v>
                </c:pt>
                <c:pt idx="103">
                  <c:v>0.43611049999999996</c:v>
                </c:pt>
                <c:pt idx="104">
                  <c:v>0.43780844444444439</c:v>
                </c:pt>
                <c:pt idx="105">
                  <c:v>0.43950638888888882</c:v>
                </c:pt>
                <c:pt idx="106">
                  <c:v>0.44120433333333331</c:v>
                </c:pt>
                <c:pt idx="107">
                  <c:v>0.44290227777777769</c:v>
                </c:pt>
                <c:pt idx="108">
                  <c:v>0.44460022222222217</c:v>
                </c:pt>
                <c:pt idx="109">
                  <c:v>0.44629816666666661</c:v>
                </c:pt>
                <c:pt idx="110">
                  <c:v>0.44799611111111104</c:v>
                </c:pt>
                <c:pt idx="111">
                  <c:v>0.44969405555555547</c:v>
                </c:pt>
                <c:pt idx="112">
                  <c:v>0.4513919999999999</c:v>
                </c:pt>
                <c:pt idx="113">
                  <c:v>0.45308994444444439</c:v>
                </c:pt>
                <c:pt idx="114">
                  <c:v>0.45478788888888888</c:v>
                </c:pt>
                <c:pt idx="115">
                  <c:v>0.45648583333333337</c:v>
                </c:pt>
                <c:pt idx="116">
                  <c:v>0.45818377777777775</c:v>
                </c:pt>
                <c:pt idx="117">
                  <c:v>0.45988172222222212</c:v>
                </c:pt>
                <c:pt idx="118">
                  <c:v>0.46157966666666661</c:v>
                </c:pt>
                <c:pt idx="119">
                  <c:v>0.46327761111111099</c:v>
                </c:pt>
                <c:pt idx="120">
                  <c:v>0.46497555555555548</c:v>
                </c:pt>
                <c:pt idx="121">
                  <c:v>0.46667349999999996</c:v>
                </c:pt>
                <c:pt idx="122">
                  <c:v>0.46837144444444445</c:v>
                </c:pt>
                <c:pt idx="123">
                  <c:v>0.47006938888888888</c:v>
                </c:pt>
                <c:pt idx="124">
                  <c:v>0.47176733333333332</c:v>
                </c:pt>
                <c:pt idx="125">
                  <c:v>0.47346527777777775</c:v>
                </c:pt>
                <c:pt idx="126">
                  <c:v>0.47516322222222218</c:v>
                </c:pt>
                <c:pt idx="127">
                  <c:v>0.47686116666666661</c:v>
                </c:pt>
                <c:pt idx="128">
                  <c:v>0.47855911111111105</c:v>
                </c:pt>
                <c:pt idx="129">
                  <c:v>0.48025705555555542</c:v>
                </c:pt>
                <c:pt idx="130">
                  <c:v>0.48195499999999997</c:v>
                </c:pt>
                <c:pt idx="131">
                  <c:v>0.4836529444444444</c:v>
                </c:pt>
                <c:pt idx="132">
                  <c:v>0.48535088888888883</c:v>
                </c:pt>
                <c:pt idx="133">
                  <c:v>0.48704883333333332</c:v>
                </c:pt>
                <c:pt idx="134">
                  <c:v>0.4887467777777777</c:v>
                </c:pt>
                <c:pt idx="135">
                  <c:v>0.49044472222222218</c:v>
                </c:pt>
                <c:pt idx="136">
                  <c:v>0.49214266666666656</c:v>
                </c:pt>
                <c:pt idx="137">
                  <c:v>0.49384061111111105</c:v>
                </c:pt>
                <c:pt idx="138">
                  <c:v>0.49553855555555543</c:v>
                </c:pt>
                <c:pt idx="139">
                  <c:v>0.49723649999999991</c:v>
                </c:pt>
                <c:pt idx="140">
                  <c:v>0.4989344444444444</c:v>
                </c:pt>
                <c:pt idx="141">
                  <c:v>0.50063238888888884</c:v>
                </c:pt>
                <c:pt idx="142">
                  <c:v>0.50233033333333332</c:v>
                </c:pt>
                <c:pt idx="143">
                  <c:v>0.5040282777777777</c:v>
                </c:pt>
                <c:pt idx="144">
                  <c:v>0.50572622222222219</c:v>
                </c:pt>
                <c:pt idx="145">
                  <c:v>0.50742416666666657</c:v>
                </c:pt>
                <c:pt idx="146">
                  <c:v>0.50912211111111105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BE-43FF-ADF4-D28915FD7BF4}"/>
            </c:ext>
          </c:extLst>
        </c:ser>
        <c:ser>
          <c:idx val="6"/>
          <c:order val="6"/>
          <c:tx>
            <c:v>Maintenance Schmidt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2'!$A$179:$A$180</c:f>
              <c:numCache>
                <c:formatCode>0.00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'Figure 2'!$H$179:$H$180</c:f>
              <c:numCache>
                <c:formatCode>General</c:formatCode>
                <c:ptCount val="2"/>
                <c:pt idx="0">
                  <c:v>0.26122222222222219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BFB-44EF-B9CC-B8E1C3754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543272"/>
        <c:axId val="774541304"/>
      </c:scatterChart>
      <c:valAx>
        <c:axId val="688284240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Ethanol</a:t>
                </a:r>
                <a:r>
                  <a:rPr lang="en-GB" baseline="0">
                    <a:solidFill>
                      <a:schemeClr val="tx1"/>
                    </a:solidFill>
                  </a:rPr>
                  <a:t> concentration (g/L)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278336"/>
        <c:crosses val="autoZero"/>
        <c:crossBetween val="midCat"/>
      </c:valAx>
      <c:valAx>
        <c:axId val="688278336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Maximum specific rate   [mol/(mol</a:t>
                </a:r>
                <a:r>
                  <a:rPr lang="en-US" baseline="-25000">
                    <a:solidFill>
                      <a:sysClr val="windowText" lastClr="000000"/>
                    </a:solidFill>
                  </a:rPr>
                  <a:t>x</a:t>
                </a:r>
                <a:r>
                  <a:rPr lang="en-US">
                    <a:solidFill>
                      <a:sysClr val="windowText" lastClr="000000"/>
                    </a:solidFill>
                  </a:rPr>
                  <a:t> h)]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284240"/>
        <c:crosses val="autoZero"/>
        <c:crossBetween val="midCat"/>
      </c:valAx>
      <c:valAx>
        <c:axId val="774541304"/>
        <c:scaling>
          <c:orientation val="minMax"/>
          <c:max val="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Maintenance rate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 sz="1000" b="0" i="0" u="none" strike="noStrike" baseline="0">
                    <a:solidFill>
                      <a:sysClr val="windowText" lastClr="000000"/>
                    </a:solidFill>
                    <a:effectLst/>
                  </a:rPr>
                  <a:t>[mol</a:t>
                </a:r>
                <a:r>
                  <a:rPr lang="en-US" sz="1000" b="0" i="0" u="none" strike="noStrike" baseline="-25000">
                    <a:solidFill>
                      <a:sysClr val="windowText" lastClr="000000"/>
                    </a:solidFill>
                    <a:effectLst/>
                  </a:rPr>
                  <a:t>s</a:t>
                </a:r>
                <a:r>
                  <a:rPr lang="en-US" sz="1000" b="0" i="0" u="none" strike="noStrike" baseline="0">
                    <a:solidFill>
                      <a:sysClr val="windowText" lastClr="000000"/>
                    </a:solidFill>
                    <a:effectLst/>
                  </a:rPr>
                  <a:t>/(mol</a:t>
                </a:r>
                <a:r>
                  <a:rPr lang="en-US" sz="1000" b="0" i="0" u="none" strike="noStrike" baseline="-25000">
                    <a:solidFill>
                      <a:sysClr val="windowText" lastClr="000000"/>
                    </a:solidFill>
                    <a:effectLst/>
                  </a:rPr>
                  <a:t>x</a:t>
                </a:r>
                <a:r>
                  <a:rPr lang="en-US" sz="1000" b="0" i="0" u="none" strike="noStrike" baseline="0">
                    <a:solidFill>
                      <a:sysClr val="windowText" lastClr="000000"/>
                    </a:solidFill>
                    <a:effectLst/>
                  </a:rPr>
                  <a:t> h)]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9349963868014004"/>
              <c:y val="0.253356398067409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4543272"/>
        <c:crosses val="max"/>
        <c:crossBetween val="midCat"/>
      </c:valAx>
      <c:valAx>
        <c:axId val="774543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45413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77445352256649"/>
          <c:y val="4.2635658914728682E-2"/>
          <c:w val="0.52835312676131496"/>
          <c:h val="0.81809924621491281"/>
        </c:manualLayout>
      </c:layout>
      <c:scatterChart>
        <c:scatterStyle val="lineMarker"/>
        <c:varyColors val="0"/>
        <c:ser>
          <c:idx val="4"/>
          <c:order val="0"/>
          <c:tx>
            <c:strRef>
              <c:f>'Figure 3'!$D$21</c:f>
              <c:strCache>
                <c:ptCount val="1"/>
                <c:pt idx="0">
                  <c:v>ethanol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'Figure 3'!$A$24:$A$320</c:f>
              <c:numCache>
                <c:formatCode>General</c:formatCode>
                <c:ptCount val="297"/>
                <c:pt idx="0">
                  <c:v>0</c:v>
                </c:pt>
                <c:pt idx="1">
                  <c:v>3.1394887688818509E-4</c:v>
                </c:pt>
                <c:pt idx="2">
                  <c:v>6.2789775377637019E-4</c:v>
                </c:pt>
                <c:pt idx="3">
                  <c:v>9.4184663066455528E-4</c:v>
                </c:pt>
                <c:pt idx="4">
                  <c:v>2.308354036891946E-3</c:v>
                </c:pt>
                <c:pt idx="5">
                  <c:v>3.6748614431193365E-3</c:v>
                </c:pt>
                <c:pt idx="6">
                  <c:v>5.0413688493467276E-3</c:v>
                </c:pt>
                <c:pt idx="7">
                  <c:v>6.4078762555741181E-3</c:v>
                </c:pt>
                <c:pt idx="8">
                  <c:v>1.0317070004513464E-2</c:v>
                </c:pt>
                <c:pt idx="9">
                  <c:v>1.422626375345281E-2</c:v>
                </c:pt>
                <c:pt idx="10">
                  <c:v>1.8135457502392156E-2</c:v>
                </c:pt>
                <c:pt idx="11">
                  <c:v>2.2044651251331503E-2</c:v>
                </c:pt>
                <c:pt idx="12">
                  <c:v>4.1712110837326219E-2</c:v>
                </c:pt>
                <c:pt idx="13">
                  <c:v>6.1379570423320935E-2</c:v>
                </c:pt>
                <c:pt idx="14">
                  <c:v>8.1047030009315651E-2</c:v>
                </c:pt>
                <c:pt idx="15">
                  <c:v>0.10071448959531037</c:v>
                </c:pt>
                <c:pt idx="16">
                  <c:v>0.1203819491813051</c:v>
                </c:pt>
                <c:pt idx="17">
                  <c:v>0.17366230158341595</c:v>
                </c:pt>
                <c:pt idx="18">
                  <c:v>0.22694265398552679</c:v>
                </c:pt>
                <c:pt idx="19">
                  <c:v>0.28022300638763764</c:v>
                </c:pt>
                <c:pt idx="20">
                  <c:v>0.33350335878974846</c:v>
                </c:pt>
                <c:pt idx="21">
                  <c:v>0.38678371119185928</c:v>
                </c:pt>
                <c:pt idx="22">
                  <c:v>0.4400640635939701</c:v>
                </c:pt>
                <c:pt idx="23">
                  <c:v>0.52286137965250024</c:v>
                </c:pt>
                <c:pt idx="24">
                  <c:v>0.60565869571103037</c:v>
                </c:pt>
                <c:pt idx="25">
                  <c:v>0.68845601176956051</c:v>
                </c:pt>
                <c:pt idx="26">
                  <c:v>0.77125332782809064</c:v>
                </c:pt>
                <c:pt idx="27">
                  <c:v>0.85405064388662078</c:v>
                </c:pt>
                <c:pt idx="28">
                  <c:v>0.93684795994515091</c:v>
                </c:pt>
                <c:pt idx="29">
                  <c:v>1.0196452760036812</c:v>
                </c:pt>
                <c:pt idx="30">
                  <c:v>1.1297158108341552</c:v>
                </c:pt>
                <c:pt idx="31">
                  <c:v>1.2397863456646292</c:v>
                </c:pt>
                <c:pt idx="32">
                  <c:v>1.3498568804951032</c:v>
                </c:pt>
                <c:pt idx="33">
                  <c:v>1.4599274153255772</c:v>
                </c:pt>
                <c:pt idx="34">
                  <c:v>1.5699979501560513</c:v>
                </c:pt>
                <c:pt idx="35">
                  <c:v>1.6800684849865253</c:v>
                </c:pt>
                <c:pt idx="36">
                  <c:v>1.7901390198169993</c:v>
                </c:pt>
                <c:pt idx="37">
                  <c:v>1.9002095546474733</c:v>
                </c:pt>
                <c:pt idx="38">
                  <c:v>2.0102800894779476</c:v>
                </c:pt>
                <c:pt idx="39">
                  <c:v>2.1203506243084216</c:v>
                </c:pt>
                <c:pt idx="40">
                  <c:v>2.2304211591388956</c:v>
                </c:pt>
                <c:pt idx="41">
                  <c:v>2.3404916939693696</c:v>
                </c:pt>
                <c:pt idx="42">
                  <c:v>2.4505622287998436</c:v>
                </c:pt>
                <c:pt idx="43">
                  <c:v>2.5606327636303177</c:v>
                </c:pt>
                <c:pt idx="44">
                  <c:v>2.6707032984607917</c:v>
                </c:pt>
                <c:pt idx="45">
                  <c:v>2.7807738332912657</c:v>
                </c:pt>
                <c:pt idx="46">
                  <c:v>2.8908443681217397</c:v>
                </c:pt>
                <c:pt idx="47">
                  <c:v>3.0009149029522137</c:v>
                </c:pt>
                <c:pt idx="48">
                  <c:v>3.1109854377826878</c:v>
                </c:pt>
                <c:pt idx="49">
                  <c:v>3.2210559726131618</c:v>
                </c:pt>
                <c:pt idx="50">
                  <c:v>3.3311265074436358</c:v>
                </c:pt>
                <c:pt idx="51">
                  <c:v>3.4411970422741098</c:v>
                </c:pt>
                <c:pt idx="52">
                  <c:v>3.5512675771045839</c:v>
                </c:pt>
                <c:pt idx="53">
                  <c:v>3.6613381119350579</c:v>
                </c:pt>
                <c:pt idx="54">
                  <c:v>3.7527527305482407</c:v>
                </c:pt>
                <c:pt idx="55">
                  <c:v>3.8441673491614234</c:v>
                </c:pt>
                <c:pt idx="56">
                  <c:v>3.9355819677746062</c:v>
                </c:pt>
                <c:pt idx="57">
                  <c:v>4.0269965863877886</c:v>
                </c:pt>
                <c:pt idx="58">
                  <c:v>4.1184112050009709</c:v>
                </c:pt>
                <c:pt idx="59">
                  <c:v>4.2098258236141533</c:v>
                </c:pt>
                <c:pt idx="60">
                  <c:v>4.3012404422273356</c:v>
                </c:pt>
                <c:pt idx="61">
                  <c:v>4.3926550608405179</c:v>
                </c:pt>
                <c:pt idx="62">
                  <c:v>4.4840696794537003</c:v>
                </c:pt>
                <c:pt idx="63">
                  <c:v>4.5754842980668826</c:v>
                </c:pt>
                <c:pt idx="64">
                  <c:v>4.666898916680065</c:v>
                </c:pt>
                <c:pt idx="65">
                  <c:v>4.7583135352932473</c:v>
                </c:pt>
                <c:pt idx="66">
                  <c:v>4.8497281539064296</c:v>
                </c:pt>
                <c:pt idx="67">
                  <c:v>4.941142772519612</c:v>
                </c:pt>
                <c:pt idx="68">
                  <c:v>5.0325573911327943</c:v>
                </c:pt>
                <c:pt idx="69">
                  <c:v>5.1239720097459767</c:v>
                </c:pt>
                <c:pt idx="70">
                  <c:v>5.215386628359159</c:v>
                </c:pt>
                <c:pt idx="71">
                  <c:v>5.3068012469723413</c:v>
                </c:pt>
                <c:pt idx="72">
                  <c:v>5.3982158655855237</c:v>
                </c:pt>
                <c:pt idx="73">
                  <c:v>5.489630484198706</c:v>
                </c:pt>
                <c:pt idx="74">
                  <c:v>5.5810451028118884</c:v>
                </c:pt>
                <c:pt idx="75">
                  <c:v>5.6724597214250707</c:v>
                </c:pt>
                <c:pt idx="76">
                  <c:v>5.7638743400382531</c:v>
                </c:pt>
                <c:pt idx="77">
                  <c:v>5.8552889586514354</c:v>
                </c:pt>
                <c:pt idx="78">
                  <c:v>5.9467035772646177</c:v>
                </c:pt>
                <c:pt idx="79">
                  <c:v>6.0381181958778001</c:v>
                </c:pt>
                <c:pt idx="80">
                  <c:v>6.1141237950533895</c:v>
                </c:pt>
                <c:pt idx="81">
                  <c:v>6.190129394228979</c:v>
                </c:pt>
                <c:pt idx="82">
                  <c:v>6.2661349934045685</c:v>
                </c:pt>
                <c:pt idx="83">
                  <c:v>6.3421405925801579</c:v>
                </c:pt>
                <c:pt idx="84">
                  <c:v>6.4181461917557474</c:v>
                </c:pt>
                <c:pt idx="85">
                  <c:v>6.4941517909313369</c:v>
                </c:pt>
                <c:pt idx="86">
                  <c:v>6.5701573901069263</c:v>
                </c:pt>
                <c:pt idx="87">
                  <c:v>6.6461629892825158</c:v>
                </c:pt>
                <c:pt idx="88">
                  <c:v>6.7221685884581053</c:v>
                </c:pt>
                <c:pt idx="89">
                  <c:v>6.7981741876336947</c:v>
                </c:pt>
                <c:pt idx="90">
                  <c:v>6.8741797868092842</c:v>
                </c:pt>
                <c:pt idx="91">
                  <c:v>6.9501853859848737</c:v>
                </c:pt>
                <c:pt idx="92">
                  <c:v>7.0261909851604631</c:v>
                </c:pt>
                <c:pt idx="93">
                  <c:v>7.1021965843360526</c:v>
                </c:pt>
                <c:pt idx="94">
                  <c:v>7.1782021835116421</c:v>
                </c:pt>
                <c:pt idx="95">
                  <c:v>7.2542077826872315</c:v>
                </c:pt>
                <c:pt idx="96">
                  <c:v>7.330213381862821</c:v>
                </c:pt>
                <c:pt idx="97">
                  <c:v>7.4062189810384105</c:v>
                </c:pt>
                <c:pt idx="98">
                  <c:v>7.4822245802139999</c:v>
                </c:pt>
                <c:pt idx="99">
                  <c:v>7.5582301793895894</c:v>
                </c:pt>
                <c:pt idx="100">
                  <c:v>7.6342357785651789</c:v>
                </c:pt>
                <c:pt idx="101">
                  <c:v>7.7102413777407683</c:v>
                </c:pt>
                <c:pt idx="102">
                  <c:v>7.7862469769163578</c:v>
                </c:pt>
                <c:pt idx="103">
                  <c:v>7.8622525760919473</c:v>
                </c:pt>
                <c:pt idx="104">
                  <c:v>7.9382581752675367</c:v>
                </c:pt>
                <c:pt idx="105">
                  <c:v>8.0142637744431262</c:v>
                </c:pt>
                <c:pt idx="106">
                  <c:v>8.0902693736187157</c:v>
                </c:pt>
                <c:pt idx="107">
                  <c:v>8.1662749727943051</c:v>
                </c:pt>
                <c:pt idx="108">
                  <c:v>8.2422805719698946</c:v>
                </c:pt>
                <c:pt idx="109">
                  <c:v>8.3182861711454841</c:v>
                </c:pt>
                <c:pt idx="110">
                  <c:v>8.3942917703210735</c:v>
                </c:pt>
                <c:pt idx="111">
                  <c:v>8.470297369496663</c:v>
                </c:pt>
                <c:pt idx="112">
                  <c:v>8.546329646527532</c:v>
                </c:pt>
                <c:pt idx="113">
                  <c:v>8.622361923558401</c:v>
                </c:pt>
                <c:pt idx="114">
                  <c:v>8.69839420058927</c:v>
                </c:pt>
                <c:pt idx="115">
                  <c:v>8.7744264776201391</c:v>
                </c:pt>
                <c:pt idx="116">
                  <c:v>8.8504587546510081</c:v>
                </c:pt>
                <c:pt idx="117">
                  <c:v>8.9264910316818771</c:v>
                </c:pt>
                <c:pt idx="118">
                  <c:v>8.9873929148875842</c:v>
                </c:pt>
                <c:pt idx="119">
                  <c:v>9.0482947980932913</c:v>
                </c:pt>
                <c:pt idx="120">
                  <c:v>9.1091966812989984</c:v>
                </c:pt>
                <c:pt idx="121">
                  <c:v>9.1700985645047055</c:v>
                </c:pt>
                <c:pt idx="122">
                  <c:v>9.219663903743534</c:v>
                </c:pt>
                <c:pt idx="123">
                  <c:v>9.2692292429823624</c:v>
                </c:pt>
                <c:pt idx="124">
                  <c:v>9.3187945822211908</c:v>
                </c:pt>
                <c:pt idx="125">
                  <c:v>9.3683599214600193</c:v>
                </c:pt>
                <c:pt idx="126">
                  <c:v>9.4179252606988477</c:v>
                </c:pt>
                <c:pt idx="127">
                  <c:v>9.4674905999376762</c:v>
                </c:pt>
                <c:pt idx="128">
                  <c:v>9.5079355819157492</c:v>
                </c:pt>
                <c:pt idx="129">
                  <c:v>9.5483805638938222</c:v>
                </c:pt>
                <c:pt idx="130">
                  <c:v>9.5888255458718952</c:v>
                </c:pt>
                <c:pt idx="131">
                  <c:v>9.6292705278499682</c:v>
                </c:pt>
                <c:pt idx="132">
                  <c:v>9.6697155098280412</c:v>
                </c:pt>
                <c:pt idx="133">
                  <c:v>9.7101604918061142</c:v>
                </c:pt>
                <c:pt idx="134">
                  <c:v>9.7437496892368962</c:v>
                </c:pt>
                <c:pt idx="135">
                  <c:v>9.7773388866676783</c:v>
                </c:pt>
                <c:pt idx="136">
                  <c:v>9.8109280840984603</c:v>
                </c:pt>
                <c:pt idx="137">
                  <c:v>9.8445172815292423</c:v>
                </c:pt>
                <c:pt idx="138">
                  <c:v>9.8781064789600244</c:v>
                </c:pt>
                <c:pt idx="139">
                  <c:v>9.9116956763908064</c:v>
                </c:pt>
                <c:pt idx="140">
                  <c:v>9.9452848738215884</c:v>
                </c:pt>
                <c:pt idx="141">
                  <c:v>9.9725577563062462</c:v>
                </c:pt>
                <c:pt idx="142">
                  <c:v>9.9998306387909039</c:v>
                </c:pt>
                <c:pt idx="143">
                  <c:v>10.027103521275562</c:v>
                </c:pt>
                <c:pt idx="144">
                  <c:v>10.054376403760219</c:v>
                </c:pt>
                <c:pt idx="145">
                  <c:v>10.081649286244877</c:v>
                </c:pt>
                <c:pt idx="146">
                  <c:v>10.108922168729535</c:v>
                </c:pt>
                <c:pt idx="147">
                  <c:v>10.136195051214193</c:v>
                </c:pt>
                <c:pt idx="148">
                  <c:v>10.158374083238449</c:v>
                </c:pt>
                <c:pt idx="149">
                  <c:v>10.180553115262706</c:v>
                </c:pt>
                <c:pt idx="150">
                  <c:v>10.202732147286962</c:v>
                </c:pt>
                <c:pt idx="151">
                  <c:v>10.224911179311219</c:v>
                </c:pt>
                <c:pt idx="152">
                  <c:v>10.247090211335475</c:v>
                </c:pt>
                <c:pt idx="153">
                  <c:v>10.269269243359732</c:v>
                </c:pt>
                <c:pt idx="154">
                  <c:v>10.291448275383988</c:v>
                </c:pt>
                <c:pt idx="155">
                  <c:v>10.309480998537104</c:v>
                </c:pt>
                <c:pt idx="156">
                  <c:v>10.32751372169022</c:v>
                </c:pt>
                <c:pt idx="157">
                  <c:v>10.345546444843336</c:v>
                </c:pt>
                <c:pt idx="158">
                  <c:v>10.363579167996452</c:v>
                </c:pt>
                <c:pt idx="159">
                  <c:v>10.381611891149568</c:v>
                </c:pt>
                <c:pt idx="160">
                  <c:v>10.399644614302684</c:v>
                </c:pt>
                <c:pt idx="161">
                  <c:v>10.4176773374558</c:v>
                </c:pt>
                <c:pt idx="162">
                  <c:v>10.432336553968646</c:v>
                </c:pt>
                <c:pt idx="163">
                  <c:v>10.446995770481493</c:v>
                </c:pt>
                <c:pt idx="164">
                  <c:v>10.46165498699434</c:v>
                </c:pt>
                <c:pt idx="165">
                  <c:v>10.476314203507187</c:v>
                </c:pt>
                <c:pt idx="166">
                  <c:v>10.490973420020033</c:v>
                </c:pt>
                <c:pt idx="167">
                  <c:v>10.50563263653288</c:v>
                </c:pt>
                <c:pt idx="168">
                  <c:v>10.520291853045727</c:v>
                </c:pt>
                <c:pt idx="169">
                  <c:v>10.532208822033166</c:v>
                </c:pt>
                <c:pt idx="170">
                  <c:v>10.544125791020605</c:v>
                </c:pt>
                <c:pt idx="171">
                  <c:v>10.556042760008044</c:v>
                </c:pt>
                <c:pt idx="172">
                  <c:v>10.567959728995483</c:v>
                </c:pt>
                <c:pt idx="173">
                  <c:v>10.579876697982922</c:v>
                </c:pt>
                <c:pt idx="174">
                  <c:v>10.591793666970361</c:v>
                </c:pt>
                <c:pt idx="175">
                  <c:v>10.6037106359578</c:v>
                </c:pt>
                <c:pt idx="176">
                  <c:v>10.613403205133006</c:v>
                </c:pt>
                <c:pt idx="177">
                  <c:v>10.623095774308212</c:v>
                </c:pt>
                <c:pt idx="178">
                  <c:v>10.632788343483417</c:v>
                </c:pt>
                <c:pt idx="179">
                  <c:v>10.642480912658623</c:v>
                </c:pt>
                <c:pt idx="180">
                  <c:v>10.652173481833829</c:v>
                </c:pt>
                <c:pt idx="181">
                  <c:v>10.661866051009035</c:v>
                </c:pt>
                <c:pt idx="182">
                  <c:v>10.671558620184241</c:v>
                </c:pt>
                <c:pt idx="183">
                  <c:v>10.679450904018459</c:v>
                </c:pt>
                <c:pt idx="184">
                  <c:v>10.687343187852678</c:v>
                </c:pt>
                <c:pt idx="185">
                  <c:v>10.695235471686896</c:v>
                </c:pt>
                <c:pt idx="186">
                  <c:v>10.703127755521114</c:v>
                </c:pt>
                <c:pt idx="187">
                  <c:v>10.711020039355333</c:v>
                </c:pt>
                <c:pt idx="188">
                  <c:v>10.718912323189551</c:v>
                </c:pt>
                <c:pt idx="189">
                  <c:v>10.726804607023769</c:v>
                </c:pt>
                <c:pt idx="190">
                  <c:v>10.733243260867415</c:v>
                </c:pt>
                <c:pt idx="191">
                  <c:v>10.73968191471106</c:v>
                </c:pt>
                <c:pt idx="192">
                  <c:v>10.746120568554705</c:v>
                </c:pt>
                <c:pt idx="193">
                  <c:v>10.75255922239835</c:v>
                </c:pt>
                <c:pt idx="194">
                  <c:v>10.758997876241995</c:v>
                </c:pt>
                <c:pt idx="195">
                  <c:v>10.76543653008564</c:v>
                </c:pt>
                <c:pt idx="196">
                  <c:v>10.771875183929286</c:v>
                </c:pt>
                <c:pt idx="197">
                  <c:v>10.777143216720402</c:v>
                </c:pt>
                <c:pt idx="198">
                  <c:v>10.782411249511519</c:v>
                </c:pt>
                <c:pt idx="199">
                  <c:v>10.787679282302635</c:v>
                </c:pt>
                <c:pt idx="200">
                  <c:v>10.792947315093752</c:v>
                </c:pt>
                <c:pt idx="201">
                  <c:v>10.798215347884868</c:v>
                </c:pt>
                <c:pt idx="202">
                  <c:v>10.803483380675985</c:v>
                </c:pt>
                <c:pt idx="203">
                  <c:v>10.808751413467101</c:v>
                </c:pt>
                <c:pt idx="204">
                  <c:v>10.813080064586041</c:v>
                </c:pt>
                <c:pt idx="205">
                  <c:v>10.81740871570498</c:v>
                </c:pt>
                <c:pt idx="206">
                  <c:v>10.821737366823919</c:v>
                </c:pt>
                <c:pt idx="207">
                  <c:v>10.826066017942859</c:v>
                </c:pt>
                <c:pt idx="208">
                  <c:v>10.830394669061798</c:v>
                </c:pt>
                <c:pt idx="209">
                  <c:v>10.834723320180737</c:v>
                </c:pt>
                <c:pt idx="210">
                  <c:v>10.839051971299677</c:v>
                </c:pt>
                <c:pt idx="211">
                  <c:v>10.842631091619388</c:v>
                </c:pt>
                <c:pt idx="212">
                  <c:v>10.8462102119391</c:v>
                </c:pt>
                <c:pt idx="213">
                  <c:v>10.849789332258812</c:v>
                </c:pt>
                <c:pt idx="214">
                  <c:v>10.853368452578524</c:v>
                </c:pt>
                <c:pt idx="215">
                  <c:v>10.856947572898235</c:v>
                </c:pt>
                <c:pt idx="216">
                  <c:v>10.860526693217947</c:v>
                </c:pt>
                <c:pt idx="217">
                  <c:v>10.864105813537659</c:v>
                </c:pt>
                <c:pt idx="218">
                  <c:v>10.867684933857371</c:v>
                </c:pt>
                <c:pt idx="219">
                  <c:v>10.870587937218639</c:v>
                </c:pt>
                <c:pt idx="220">
                  <c:v>10.873490940579908</c:v>
                </c:pt>
                <c:pt idx="221">
                  <c:v>10.876393943941176</c:v>
                </c:pt>
                <c:pt idx="222">
                  <c:v>10.879296947302445</c:v>
                </c:pt>
                <c:pt idx="223">
                  <c:v>10.882199950663713</c:v>
                </c:pt>
                <c:pt idx="224">
                  <c:v>10.885102954024982</c:v>
                </c:pt>
                <c:pt idx="225">
                  <c:v>10.88800595738625</c:v>
                </c:pt>
                <c:pt idx="226">
                  <c:v>10.890908960747518</c:v>
                </c:pt>
                <c:pt idx="227">
                  <c:v>10.893324441841221</c:v>
                </c:pt>
                <c:pt idx="228">
                  <c:v>10.895739922934924</c:v>
                </c:pt>
                <c:pt idx="229">
                  <c:v>10.898155404028627</c:v>
                </c:pt>
                <c:pt idx="230">
                  <c:v>10.900570885122329</c:v>
                </c:pt>
                <c:pt idx="231">
                  <c:v>10.902986366216032</c:v>
                </c:pt>
                <c:pt idx="232">
                  <c:v>10.905401847309735</c:v>
                </c:pt>
                <c:pt idx="233">
                  <c:v>10.907817328403437</c:v>
                </c:pt>
                <c:pt idx="234">
                  <c:v>10.91023280949714</c:v>
                </c:pt>
                <c:pt idx="235">
                  <c:v>10.912648290590843</c:v>
                </c:pt>
                <c:pt idx="236">
                  <c:v>10.915063771684546</c:v>
                </c:pt>
                <c:pt idx="237">
                  <c:v>10.917479252778248</c:v>
                </c:pt>
                <c:pt idx="238">
                  <c:v>10.919894733871951</c:v>
                </c:pt>
                <c:pt idx="239">
                  <c:v>10.922310214965654</c:v>
                </c:pt>
                <c:pt idx="240">
                  <c:v>10.924725696059356</c:v>
                </c:pt>
                <c:pt idx="241">
                  <c:v>10.927141177153059</c:v>
                </c:pt>
                <c:pt idx="242">
                  <c:v>10.929556658246762</c:v>
                </c:pt>
                <c:pt idx="243">
                  <c:v>10.932167999852668</c:v>
                </c:pt>
                <c:pt idx="244">
                  <c:v>10.934087338885123</c:v>
                </c:pt>
                <c:pt idx="245">
                  <c:v>10.936006677917577</c:v>
                </c:pt>
                <c:pt idx="246">
                  <c:v>10.937926016950032</c:v>
                </c:pt>
                <c:pt idx="247">
                  <c:v>10.939845355982486</c:v>
                </c:pt>
                <c:pt idx="248">
                  <c:v>10.941279287918581</c:v>
                </c:pt>
                <c:pt idx="249">
                  <c:v>10.942713219854676</c:v>
                </c:pt>
                <c:pt idx="250">
                  <c:v>10.943871343266878</c:v>
                </c:pt>
                <c:pt idx="251">
                  <c:v>10.945029466679079</c:v>
                </c:pt>
                <c:pt idx="252">
                  <c:v>10.946187590091281</c:v>
                </c:pt>
                <c:pt idx="253">
                  <c:v>10.947345713503482</c:v>
                </c:pt>
                <c:pt idx="254">
                  <c:v>10.948289571359121</c:v>
                </c:pt>
                <c:pt idx="255">
                  <c:v>10.949233429214759</c:v>
                </c:pt>
                <c:pt idx="256">
                  <c:v>10.950177287070398</c:v>
                </c:pt>
                <c:pt idx="257">
                  <c:v>10.951121144926036</c:v>
                </c:pt>
                <c:pt idx="258">
                  <c:v>10.952065002781675</c:v>
                </c:pt>
                <c:pt idx="259">
                  <c:v>10.953008860637313</c:v>
                </c:pt>
                <c:pt idx="260">
                  <c:v>10.953966276646092</c:v>
                </c:pt>
                <c:pt idx="261">
                  <c:v>10.954923692654871</c:v>
                </c:pt>
                <c:pt idx="262">
                  <c:v>10.95588110866365</c:v>
                </c:pt>
                <c:pt idx="263">
                  <c:v>10.956838524672429</c:v>
                </c:pt>
                <c:pt idx="264">
                  <c:v>10.957795940681208</c:v>
                </c:pt>
                <c:pt idx="265">
                  <c:v>10.958753356689988</c:v>
                </c:pt>
                <c:pt idx="266">
                  <c:v>10.959710772698767</c:v>
                </c:pt>
                <c:pt idx="267">
                  <c:v>10.961057332017518</c:v>
                </c:pt>
                <c:pt idx="268">
                  <c:v>10.962403891336269</c:v>
                </c:pt>
                <c:pt idx="269">
                  <c:v>10.96375045065502</c:v>
                </c:pt>
                <c:pt idx="270">
                  <c:v>10.965097009973771</c:v>
                </c:pt>
                <c:pt idx="271">
                  <c:v>10.966181698393253</c:v>
                </c:pt>
                <c:pt idx="272">
                  <c:v>10.967266386812735</c:v>
                </c:pt>
                <c:pt idx="273">
                  <c:v>10.968351075232217</c:v>
                </c:pt>
                <c:pt idx="274">
                  <c:v>10.969435763651699</c:v>
                </c:pt>
                <c:pt idx="275">
                  <c:v>10.970520452071181</c:v>
                </c:pt>
                <c:pt idx="276">
                  <c:v>10.971605140490663</c:v>
                </c:pt>
                <c:pt idx="277">
                  <c:v>10.972689828910145</c:v>
                </c:pt>
                <c:pt idx="278">
                  <c:v>10.973774517329627</c:v>
                </c:pt>
                <c:pt idx="279">
                  <c:v>10.974859205749109</c:v>
                </c:pt>
                <c:pt idx="280">
                  <c:v>10.975943894168591</c:v>
                </c:pt>
                <c:pt idx="281">
                  <c:v>10.977028582588073</c:v>
                </c:pt>
              </c:numCache>
            </c:numRef>
          </c:xVal>
          <c:yVal>
            <c:numRef>
              <c:f>'Figure 3'!$D$24:$D$320</c:f>
              <c:numCache>
                <c:formatCode>General</c:formatCode>
                <c:ptCount val="297"/>
                <c:pt idx="0">
                  <c:v>0</c:v>
                </c:pt>
                <c:pt idx="1">
                  <c:v>8.5478985621176575E-7</c:v>
                </c:pt>
                <c:pt idx="2">
                  <c:v>1.7097046242645713E-6</c:v>
                </c:pt>
                <c:pt idx="3">
                  <c:v>2.564746955758202E-6</c:v>
                </c:pt>
                <c:pt idx="4">
                  <c:v>6.2878282168585577E-6</c:v>
                </c:pt>
                <c:pt idx="5">
                  <c:v>1.0013283868011124E-5</c:v>
                </c:pt>
                <c:pt idx="6">
                  <c:v>1.3741152964216024E-5</c:v>
                </c:pt>
                <c:pt idx="7">
                  <c:v>1.7471450336864617E-5</c:v>
                </c:pt>
                <c:pt idx="8">
                  <c:v>2.8156228380399511E-5</c:v>
                </c:pt>
                <c:pt idx="9">
                  <c:v>3.8860950625203668E-5</c:v>
                </c:pt>
                <c:pt idx="10">
                  <c:v>4.9585653842941114E-5</c:v>
                </c:pt>
                <c:pt idx="11">
                  <c:v>6.0330375215193775E-5</c:v>
                </c:pt>
                <c:pt idx="12">
                  <c:v>1.1469293182762241E-4</c:v>
                </c:pt>
                <c:pt idx="13">
                  <c:v>1.695679056748494E-4</c:v>
                </c:pt>
                <c:pt idx="14">
                  <c:v>2.2496013269271133E-4</c:v>
                </c:pt>
                <c:pt idx="15">
                  <c:v>2.8087449267900992E-4</c:v>
                </c:pt>
                <c:pt idx="16">
                  <c:v>3.3731590817120814E-4</c:v>
                </c:pt>
                <c:pt idx="17">
                  <c:v>4.9290644413104508E-4</c:v>
                </c:pt>
                <c:pt idx="18">
                  <c:v>6.5250218898938426E-4</c:v>
                </c:pt>
                <c:pt idx="19">
                  <c:v>8.1620622904486596E-4</c:v>
                </c:pt>
                <c:pt idx="20">
                  <c:v>9.8412431640699312E-4</c:v>
                </c:pt>
                <c:pt idx="21">
                  <c:v>1.1563649267528782E-3</c:v>
                </c:pt>
                <c:pt idx="22">
                  <c:v>1.3330393227423164E-3</c:v>
                </c:pt>
                <c:pt idx="23">
                  <c:v>1.6166580164014299E-3</c:v>
                </c:pt>
                <c:pt idx="24">
                  <c:v>1.9117027180380753E-3</c:v>
                </c:pt>
                <c:pt idx="25">
                  <c:v>2.2186337024200802E-3</c:v>
                </c:pt>
                <c:pt idx="26">
                  <c:v>2.5379297880498402E-3</c:v>
                </c:pt>
                <c:pt idx="27">
                  <c:v>2.8700890759530834E-3</c:v>
                </c:pt>
                <c:pt idx="28">
                  <c:v>3.2156297239928676E-3</c:v>
                </c:pt>
                <c:pt idx="29">
                  <c:v>3.5750907575863864E-3</c:v>
                </c:pt>
                <c:pt idx="30">
                  <c:v>4.0754776368223007E-3</c:v>
                </c:pt>
                <c:pt idx="31">
                  <c:v>4.6028391479105042E-3</c:v>
                </c:pt>
                <c:pt idx="32">
                  <c:v>5.158629251603499E-3</c:v>
                </c:pt>
                <c:pt idx="33">
                  <c:v>5.7443802592832436E-3</c:v>
                </c:pt>
                <c:pt idx="34">
                  <c:v>6.3617070589147891E-3</c:v>
                </c:pt>
                <c:pt idx="35">
                  <c:v>7.0123115603400454E-3</c:v>
                </c:pt>
                <c:pt idx="36">
                  <c:v>7.6979873776317547E-3</c:v>
                </c:pt>
                <c:pt idx="37">
                  <c:v>8.4206247665486404E-3</c:v>
                </c:pt>
                <c:pt idx="38">
                  <c:v>9.1822158300344028E-3</c:v>
                </c:pt>
                <c:pt idx="39">
                  <c:v>9.9848600031392631E-3</c:v>
                </c:pt>
                <c:pt idx="40">
                  <c:v>1.0830769831414396E-2</c:v>
                </c:pt>
                <c:pt idx="41">
                  <c:v>1.1722277059581494E-2</c:v>
                </c:pt>
                <c:pt idx="42">
                  <c:v>1.2661839048007599E-2</c:v>
                </c:pt>
                <c:pt idx="43">
                  <c:v>1.3652045534389414E-2</c:v>
                </c:pt>
                <c:pt idx="44">
                  <c:v>1.4695625758611755E-2</c:v>
                </c:pt>
                <c:pt idx="45">
                  <c:v>1.5795455970067381E-2</c:v>
                </c:pt>
                <c:pt idx="46">
                  <c:v>1.695456733808345E-2</c:v>
                </c:pt>
                <c:pt idx="47">
                  <c:v>1.8176154287151303E-2</c:v>
                </c:pt>
                <c:pt idx="48">
                  <c:v>1.9463583279619095E-2</c:v>
                </c:pt>
                <c:pt idx="49">
                  <c:v>2.0820402069644646E-2</c:v>
                </c:pt>
                <c:pt idx="50">
                  <c:v>2.2250349453525886E-2</c:v>
                </c:pt>
                <c:pt idx="51">
                  <c:v>2.3757365542903287E-2</c:v>
                </c:pt>
                <c:pt idx="52">
                  <c:v>2.5345602588710082E-2</c:v>
                </c:pt>
                <c:pt idx="53">
                  <c:v>2.7019436385173935E-2</c:v>
                </c:pt>
                <c:pt idx="54">
                  <c:v>2.8477935314072299E-2</c:v>
                </c:pt>
                <c:pt idx="55">
                  <c:v>3.0001421587322614E-2</c:v>
                </c:pt>
                <c:pt idx="56">
                  <c:v>3.1592789666038311E-2</c:v>
                </c:pt>
                <c:pt idx="57">
                  <c:v>3.3255062791251754E-2</c:v>
                </c:pt>
                <c:pt idx="58">
                  <c:v>3.4991398703469748E-2</c:v>
                </c:pt>
                <c:pt idx="59">
                  <c:v>3.6805095628610597E-2</c:v>
                </c:pt>
                <c:pt idx="60">
                  <c:v>3.8699598519919998E-2</c:v>
                </c:pt>
                <c:pt idx="61">
                  <c:v>4.0678505564842669E-2</c:v>
                </c:pt>
                <c:pt idx="62">
                  <c:v>4.2745574978534234E-2</c:v>
                </c:pt>
                <c:pt idx="63">
                  <c:v>4.4904732101936309E-2</c:v>
                </c:pt>
                <c:pt idx="64">
                  <c:v>4.716007681495496E-2</c:v>
                </c:pt>
                <c:pt idx="65">
                  <c:v>4.9515891274575272E-2</c:v>
                </c:pt>
                <c:pt idx="66">
                  <c:v>5.1976647991686838E-2</c:v>
                </c:pt>
                <c:pt idx="67">
                  <c:v>5.4547018263016223E-2</c:v>
                </c:pt>
                <c:pt idx="68">
                  <c:v>5.7231880974344E-2</c:v>
                </c:pt>
                <c:pt idx="69">
                  <c:v>6.0036331790442814E-2</c:v>
                </c:pt>
                <c:pt idx="70">
                  <c:v>6.2965692747640176E-2</c:v>
                </c:pt>
                <c:pt idx="71">
                  <c:v>6.6025522266166856E-2</c:v>
                </c:pt>
                <c:pt idx="72">
                  <c:v>6.9221625600462841E-2</c:v>
                </c:pt>
                <c:pt idx="73">
                  <c:v>7.2560065746146971E-2</c:v>
                </c:pt>
                <c:pt idx="74">
                  <c:v>7.6047174822828745E-2</c:v>
                </c:pt>
                <c:pt idx="75">
                  <c:v>7.9689565952639999E-2</c:v>
                </c:pt>
                <c:pt idx="76">
                  <c:v>8.3494145655203911E-2</c:v>
                </c:pt>
                <c:pt idx="77">
                  <c:v>8.7468126780556793E-2</c:v>
                </c:pt>
                <c:pt idx="78">
                  <c:v>9.1619042002258122E-2</c:v>
                </c:pt>
                <c:pt idx="79">
                  <c:v>9.5954757893647283E-2</c:v>
                </c:pt>
                <c:pt idx="80">
                  <c:v>9.9706230257712081E-2</c:v>
                </c:pt>
                <c:pt idx="81">
                  <c:v>0.10359603851744732</c:v>
                </c:pt>
                <c:pt idx="82">
                  <c:v>0.10762927550487326</c:v>
                </c:pt>
                <c:pt idx="83">
                  <c:v>0.11181122079023516</c:v>
                </c:pt>
                <c:pt idx="84">
                  <c:v>0.11614734746033978</c:v>
                </c:pt>
                <c:pt idx="85">
                  <c:v>0.12064332914902608</c:v>
                </c:pt>
                <c:pt idx="86">
                  <c:v>0.12530504730575803</c:v>
                </c:pt>
                <c:pt idx="87">
                  <c:v>0.13013859870754246</c:v>
                </c:pt>
                <c:pt idx="88">
                  <c:v>0.13515030323170593</c:v>
                </c:pt>
                <c:pt idx="89">
                  <c:v>0.14034671190275996</c:v>
                </c:pt>
                <c:pt idx="90">
                  <c:v>0.14573461521865599</c:v>
                </c:pt>
                <c:pt idx="91">
                  <c:v>0.15132105176053065</c:v>
                </c:pt>
                <c:pt idx="92">
                  <c:v>0.15711331709344623</c:v>
                </c:pt>
                <c:pt idx="93">
                  <c:v>0.16311897296759664</c:v>
                </c:pt>
                <c:pt idx="94">
                  <c:v>0.16934585682845341</c:v>
                </c:pt>
                <c:pt idx="95">
                  <c:v>0.17580209164273763</c:v>
                </c:pt>
                <c:pt idx="96">
                  <c:v>0.18249609604657321</c:v>
                </c:pt>
                <c:pt idx="97">
                  <c:v>0.18943659482245537</c:v>
                </c:pt>
                <c:pt idx="98">
                  <c:v>0.1966326297113945</c:v>
                </c:pt>
                <c:pt idx="99">
                  <c:v>0.20409357056569002</c:v>
                </c:pt>
                <c:pt idx="100">
                  <c:v>0.21182912684664013</c:v>
                </c:pt>
                <c:pt idx="101">
                  <c:v>0.21984935947031944</c:v>
                </c:pt>
                <c:pt idx="102">
                  <c:v>0.22816469300320166</c:v>
                </c:pt>
                <c:pt idx="103">
                  <c:v>0.2367859282076295</c:v>
                </c:pt>
                <c:pt idx="104">
                  <c:v>0.24572425493483549</c:v>
                </c:pt>
                <c:pt idx="105">
                  <c:v>0.25499126536036676</c:v>
                </c:pt>
                <c:pt idx="106">
                  <c:v>0.26459896755328172</c:v>
                </c:pt>
                <c:pt idx="107">
                  <c:v>0.27455979936618152</c:v>
                </c:pt>
                <c:pt idx="108">
                  <c:v>0.28488664262777952</c:v>
                </c:pt>
                <c:pt idx="109">
                  <c:v>0.29559283761302957</c:v>
                </c:pt>
                <c:pt idx="110">
                  <c:v>0.3066921977574999</c:v>
                </c:pt>
                <c:pt idx="111">
                  <c:v>0.3181990245722634</c:v>
                </c:pt>
                <c:pt idx="112">
                  <c:v>0.3301323857112935</c:v>
                </c:pt>
                <c:pt idx="113">
                  <c:v>0.34250365382398618</c:v>
                </c:pt>
                <c:pt idx="114">
                  <c:v>0.35532870217561691</c:v>
                </c:pt>
                <c:pt idx="115">
                  <c:v>0.36862395314060364</c:v>
                </c:pt>
                <c:pt idx="116">
                  <c:v>0.38240639288810324</c:v>
                </c:pt>
                <c:pt idx="117">
                  <c:v>0.39669358556665962</c:v>
                </c:pt>
                <c:pt idx="118">
                  <c:v>0.40851391806743487</c:v>
                </c:pt>
                <c:pt idx="119">
                  <c:v>0.42067934741849672</c:v>
                </c:pt>
                <c:pt idx="120">
                  <c:v>0.43319973524866756</c:v>
                </c:pt>
                <c:pt idx="121">
                  <c:v>0.44608519851945988</c:v>
                </c:pt>
                <c:pt idx="122">
                  <c:v>0.45684874452388352</c:v>
                </c:pt>
                <c:pt idx="123">
                  <c:v>0.46786668872771586</c:v>
                </c:pt>
                <c:pt idx="124">
                  <c:v>0.47914486462242184</c:v>
                </c:pt>
                <c:pt idx="125">
                  <c:v>0.4906892196357161</c:v>
                </c:pt>
                <c:pt idx="126">
                  <c:v>0.50250581453481202</c:v>
                </c:pt>
                <c:pt idx="127">
                  <c:v>0.51460082225085479</c:v>
                </c:pt>
                <c:pt idx="128">
                  <c:v>0.52468091462576139</c:v>
                </c:pt>
                <c:pt idx="129">
                  <c:v>0.53495403557024679</c:v>
                </c:pt>
                <c:pt idx="130">
                  <c:v>0.54542369859934603</c:v>
                </c:pt>
                <c:pt idx="131">
                  <c:v>0.55609346202101773</c:v>
                </c:pt>
                <c:pt idx="132">
                  <c:v>0.56696692684039973</c:v>
                </c:pt>
                <c:pt idx="133">
                  <c:v>0.57804773413387278</c:v>
                </c:pt>
                <c:pt idx="134">
                  <c:v>0.58741048426870057</c:v>
                </c:pt>
                <c:pt idx="135">
                  <c:v>0.59692090201743586</c:v>
                </c:pt>
                <c:pt idx="136">
                  <c:v>0.6065811252762322</c:v>
                </c:pt>
                <c:pt idx="137">
                  <c:v>0.61639330347453292</c:v>
                </c:pt>
                <c:pt idx="138">
                  <c:v>0.6263595949157833</c:v>
                </c:pt>
                <c:pt idx="139">
                  <c:v>0.6364821636117205</c:v>
                </c:pt>
                <c:pt idx="140">
                  <c:v>0.64676317553409912</c:v>
                </c:pt>
                <c:pt idx="141">
                  <c:v>0.65522892872611393</c:v>
                </c:pt>
                <c:pt idx="142">
                  <c:v>0.66380171976746372</c:v>
                </c:pt>
                <c:pt idx="143">
                  <c:v>0.67248269768006286</c:v>
                </c:pt>
                <c:pt idx="144">
                  <c:v>0.6812730033936214</c:v>
                </c:pt>
                <c:pt idx="145">
                  <c:v>0.69017376678382136</c:v>
                </c:pt>
                <c:pt idx="146">
                  <c:v>0.69918610320374452</c:v>
                </c:pt>
                <c:pt idx="147">
                  <c:v>0.70831110943690134</c:v>
                </c:pt>
                <c:pt idx="148">
                  <c:v>0.71581561927314852</c:v>
                </c:pt>
                <c:pt idx="149">
                  <c:v>0.7233959159038138</c:v>
                </c:pt>
                <c:pt idx="150">
                  <c:v>0.73105254790962337</c:v>
                </c:pt>
                <c:pt idx="151">
                  <c:v>0.73878604629242006</c:v>
                </c:pt>
                <c:pt idx="152">
                  <c:v>0.74659692139608047</c:v>
                </c:pt>
                <c:pt idx="153">
                  <c:v>0.75448565932054579</c:v>
                </c:pt>
                <c:pt idx="154">
                  <c:v>0.76245271775684942</c:v>
                </c:pt>
                <c:pt idx="155">
                  <c:v>0.76898837760555028</c:v>
                </c:pt>
                <c:pt idx="156">
                  <c:v>0.77557630235035446</c:v>
                </c:pt>
                <c:pt idx="157">
                  <c:v>0.78221668202664474</c:v>
                </c:pt>
                <c:pt idx="158">
                  <c:v>0.78890968461653477</c:v>
                </c:pt>
                <c:pt idx="159">
                  <c:v>0.79565545292887696</c:v>
                </c:pt>
                <c:pt idx="160">
                  <c:v>0.80245410097198244</c:v>
                </c:pt>
                <c:pt idx="161">
                  <c:v>0.80930570974688476</c:v>
                </c:pt>
                <c:pt idx="162">
                  <c:v>0.81491459760009954</c:v>
                </c:pt>
                <c:pt idx="163">
                  <c:v>0.82055851574052374</c:v>
                </c:pt>
                <c:pt idx="164">
                  <c:v>0.82623744492032136</c:v>
                </c:pt>
                <c:pt idx="165">
                  <c:v>0.83195134177571428</c:v>
                </c:pt>
                <c:pt idx="166">
                  <c:v>0.83770013569279722</c:v>
                </c:pt>
                <c:pt idx="167">
                  <c:v>0.84348372516589687</c:v>
                </c:pt>
                <c:pt idx="168">
                  <c:v>0.84930197357642567</c:v>
                </c:pt>
                <c:pt idx="169">
                  <c:v>0.85405724243847003</c:v>
                </c:pt>
                <c:pt idx="170">
                  <c:v>0.85883518328219133</c:v>
                </c:pt>
                <c:pt idx="171">
                  <c:v>0.86363565683083199</c:v>
                </c:pt>
                <c:pt idx="172">
                  <c:v>0.86845849874892567</c:v>
                </c:pt>
                <c:pt idx="173">
                  <c:v>0.87330351650386162</c:v>
                </c:pt>
                <c:pt idx="174">
                  <c:v>0.87817048572079104</c:v>
                </c:pt>
                <c:pt idx="175">
                  <c:v>0.88305914595937407</c:v>
                </c:pt>
                <c:pt idx="176">
                  <c:v>0.88705108648794972</c:v>
                </c:pt>
                <c:pt idx="177">
                  <c:v>0.89105699298896102</c:v>
                </c:pt>
                <c:pt idx="178">
                  <c:v>0.89507665794670943</c:v>
                </c:pt>
                <c:pt idx="179">
                  <c:v>0.89910984832478624</c:v>
                </c:pt>
                <c:pt idx="180">
                  <c:v>0.90315630242631195</c:v>
                </c:pt>
                <c:pt idx="181">
                  <c:v>0.90721572624961488</c:v>
                </c:pt>
                <c:pt idx="182">
                  <c:v>0.91128778926888543</c:v>
                </c:pt>
                <c:pt idx="183">
                  <c:v>0.91461259215304358</c:v>
                </c:pt>
                <c:pt idx="184">
                  <c:v>0.917945305770694</c:v>
                </c:pt>
                <c:pt idx="185">
                  <c:v>0.92128568338321604</c:v>
                </c:pt>
                <c:pt idx="186">
                  <c:v>0.92463345243867012</c:v>
                </c:pt>
                <c:pt idx="187">
                  <c:v>0.92798831143089466</c:v>
                </c:pt>
                <c:pt idx="188">
                  <c:v>0.93134992625773649</c:v>
                </c:pt>
                <c:pt idx="189">
                  <c:v>0.93471792600957637</c:v>
                </c:pt>
                <c:pt idx="190">
                  <c:v>0.93747003901770598</c:v>
                </c:pt>
                <c:pt idx="191">
                  <c:v>0.94022588073153324</c:v>
                </c:pt>
                <c:pt idx="192">
                  <c:v>0.94298518063993875</c:v>
                </c:pt>
                <c:pt idx="193">
                  <c:v>0.94574764213833495</c:v>
                </c:pt>
                <c:pt idx="194">
                  <c:v>0.94851293938555736</c:v>
                </c:pt>
                <c:pt idx="195">
                  <c:v>0.95128071366556533</c:v>
                </c:pt>
                <c:pt idx="196">
                  <c:v>0.95405056918747932</c:v>
                </c:pt>
                <c:pt idx="197">
                  <c:v>0.9563180769353643</c:v>
                </c:pt>
                <c:pt idx="198">
                  <c:v>0.95858642262999183</c:v>
                </c:pt>
                <c:pt idx="199">
                  <c:v>0.96085531934828972</c:v>
                </c:pt>
                <c:pt idx="200">
                  <c:v>0.96312445371361455</c:v>
                </c:pt>
                <c:pt idx="201">
                  <c:v>0.96539348274852266</c:v>
                </c:pt>
                <c:pt idx="202">
                  <c:v>0.96766203024062203</c:v>
                </c:pt>
                <c:pt idx="203">
                  <c:v>0.96992968255837131</c:v>
                </c:pt>
                <c:pt idx="204">
                  <c:v>0.97179198372961839</c:v>
                </c:pt>
                <c:pt idx="205">
                  <c:v>0.97365309680040113</c:v>
                </c:pt>
                <c:pt idx="206">
                  <c:v>0.9755127207043307</c:v>
                </c:pt>
                <c:pt idx="207">
                  <c:v>0.97737052740237584</c:v>
                </c:pt>
                <c:pt idx="208">
                  <c:v>0.97922615872852015</c:v>
                </c:pt>
                <c:pt idx="209">
                  <c:v>0.98107922276040282</c:v>
                </c:pt>
                <c:pt idx="210">
                  <c:v>0.9829292896565176</c:v>
                </c:pt>
                <c:pt idx="211">
                  <c:v>0.98445640842076254</c:v>
                </c:pt>
                <c:pt idx="212">
                  <c:v>0.98598086419156694</c:v>
                </c:pt>
                <c:pt idx="213">
                  <c:v>0.98750234019682415</c:v>
                </c:pt>
                <c:pt idx="214">
                  <c:v>0.98902049190703001</c:v>
                </c:pt>
                <c:pt idx="215">
                  <c:v>0.99053494386888596</c:v>
                </c:pt>
                <c:pt idx="216">
                  <c:v>0.9920452860812945</c:v>
                </c:pt>
                <c:pt idx="217">
                  <c:v>0.99355106986210884</c:v>
                </c:pt>
                <c:pt idx="218">
                  <c:v>0.99505180312238584</c:v>
                </c:pt>
                <c:pt idx="219">
                  <c:v>0.99626495898734957</c:v>
                </c:pt>
                <c:pt idx="220">
                  <c:v>0.99747412251214329</c:v>
                </c:pt>
                <c:pt idx="221">
                  <c:v>0.99867895240883364</c:v>
                </c:pt>
                <c:pt idx="222">
                  <c:v>0.99987907827014832</c:v>
                </c:pt>
                <c:pt idx="223">
                  <c:v>1.0010740973978376</c:v>
                </c:pt>
                <c:pt idx="224">
                  <c:v>1.0022635712049128</c:v>
                </c:pt>
                <c:pt idx="225">
                  <c:v>1.0034470211592148</c:v>
                </c:pt>
                <c:pt idx="226">
                  <c:v>1.0046239242057913</c:v>
                </c:pt>
                <c:pt idx="227">
                  <c:v>1.0055977809757959</c:v>
                </c:pt>
                <c:pt idx="228">
                  <c:v>1.0065663506134916</c:v>
                </c:pt>
                <c:pt idx="229">
                  <c:v>1.0075292448442699</c:v>
                </c:pt>
                <c:pt idx="230">
                  <c:v>1.0084860432285714</c:v>
                </c:pt>
                <c:pt idx="231">
                  <c:v>1.0094362899236433</c:v>
                </c:pt>
                <c:pt idx="232">
                  <c:v>1.0103794900797072</c:v>
                </c:pt>
                <c:pt idx="233">
                  <c:v>1.0113151058599867</c:v>
                </c:pt>
                <c:pt idx="234">
                  <c:v>1.0122425520574014</c:v>
                </c:pt>
                <c:pt idx="235">
                  <c:v>1.0131611912712113</c:v>
                </c:pt>
                <c:pt idx="236">
                  <c:v>1.0140703286167867</c:v>
                </c:pt>
                <c:pt idx="237">
                  <c:v>1.0149692059609841</c:v>
                </c:pt>
                <c:pt idx="238">
                  <c:v>1.0158569956958883</c:v>
                </c:pt>
                <c:pt idx="239">
                  <c:v>1.0167327940889237</c:v>
                </c:pt>
                <c:pt idx="240">
                  <c:v>1.0175956142870139</c:v>
                </c:pt>
                <c:pt idx="241">
                  <c:v>1.0184443791134441</c:v>
                </c:pt>
                <c:pt idx="242">
                  <c:v>1.0192779138826278</c:v>
                </c:pt>
                <c:pt idx="243">
                  <c:v>1.0201604234915436</c:v>
                </c:pt>
                <c:pt idx="244">
                  <c:v>1.0207957472638696</c:v>
                </c:pt>
                <c:pt idx="245">
                  <c:v>1.021418944836513</c:v>
                </c:pt>
                <c:pt idx="246">
                  <c:v>1.0220292164479952</c:v>
                </c:pt>
                <c:pt idx="247">
                  <c:v>1.022625716064649</c:v>
                </c:pt>
                <c:pt idx="248">
                  <c:v>1.0230618402032667</c:v>
                </c:pt>
                <c:pt idx="249">
                  <c:v>1.0234893942245604</c:v>
                </c:pt>
                <c:pt idx="250">
                  <c:v>1.0238281825734474</c:v>
                </c:pt>
                <c:pt idx="251">
                  <c:v>1.024160905565743</c:v>
                </c:pt>
                <c:pt idx="252">
                  <c:v>1.0244873443696785</c:v>
                </c:pt>
                <c:pt idx="253">
                  <c:v>1.024807277214274</c:v>
                </c:pt>
                <c:pt idx="254">
                  <c:v>1.0250630519004096</c:v>
                </c:pt>
                <c:pt idx="255">
                  <c:v>1.0253142351688633</c:v>
                </c:pt>
                <c:pt idx="256">
                  <c:v>1.0255607056568448</c:v>
                </c:pt>
                <c:pt idx="257">
                  <c:v>1.0258023426557303</c:v>
                </c:pt>
                <c:pt idx="258">
                  <c:v>1.0260390267230335</c:v>
                </c:pt>
                <c:pt idx="259">
                  <c:v>1.0262706403694439</c:v>
                </c:pt>
                <c:pt idx="260">
                  <c:v>1.0265002829742682</c:v>
                </c:pt>
                <c:pt idx="261">
                  <c:v>1.0267244740623078</c:v>
                </c:pt>
                <c:pt idx="262">
                  <c:v>1.0269431019931876</c:v>
                </c:pt>
                <c:pt idx="263">
                  <c:v>1.0271560606221244</c:v>
                </c:pt>
                <c:pt idx="264">
                  <c:v>1.0273632502865235</c:v>
                </c:pt>
                <c:pt idx="265">
                  <c:v>1.0275645788557577</c:v>
                </c:pt>
                <c:pt idx="266">
                  <c:v>1.0277599628076277</c:v>
                </c:pt>
                <c:pt idx="267">
                  <c:v>1.0280245611176169</c:v>
                </c:pt>
                <c:pt idx="268">
                  <c:v>1.0282770872119442</c:v>
                </c:pt>
                <c:pt idx="269">
                  <c:v>1.0285174198929232</c:v>
                </c:pt>
                <c:pt idx="270">
                  <c:v>1.0287454907229749</c:v>
                </c:pt>
                <c:pt idx="271">
                  <c:v>1.0289202812862983</c:v>
                </c:pt>
                <c:pt idx="272">
                  <c:v>1.0290871296299189</c:v>
                </c:pt>
                <c:pt idx="273">
                  <c:v>1.0292460846366192</c:v>
                </c:pt>
                <c:pt idx="274">
                  <c:v>1.0293972219467564</c:v>
                </c:pt>
                <c:pt idx="275">
                  <c:v>1.0295406439571808</c:v>
                </c:pt>
                <c:pt idx="276">
                  <c:v>1.0296764793653983</c:v>
                </c:pt>
                <c:pt idx="277">
                  <c:v>1.0298048822811274</c:v>
                </c:pt>
                <c:pt idx="278">
                  <c:v>1.0299260309208522</c:v>
                </c:pt>
                <c:pt idx="279">
                  <c:v>1.0300401259003378</c:v>
                </c:pt>
                <c:pt idx="280">
                  <c:v>1.0301473881603016</c:v>
                </c:pt>
                <c:pt idx="281">
                  <c:v>1.0302480565847485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25-4563-91EC-8EF600881A12}"/>
            </c:ext>
          </c:extLst>
        </c:ser>
        <c:ser>
          <c:idx val="1"/>
          <c:order val="1"/>
          <c:tx>
            <c:strRef>
              <c:f>'Figure 3'!$I$21</c:f>
              <c:strCache>
                <c:ptCount val="1"/>
                <c:pt idx="0">
                  <c:v>ethanol inhibited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'Figure 3'!$F$24:$F$249</c:f>
              <c:numCache>
                <c:formatCode>General</c:formatCode>
                <c:ptCount val="226"/>
                <c:pt idx="0">
                  <c:v>0</c:v>
                </c:pt>
                <c:pt idx="1">
                  <c:v>3.1437518189920857E-4</c:v>
                </c:pt>
                <c:pt idx="2">
                  <c:v>6.2875036379841714E-4</c:v>
                </c:pt>
                <c:pt idx="3">
                  <c:v>9.4312554569762571E-4</c:v>
                </c:pt>
                <c:pt idx="4">
                  <c:v>2.3115212195532068E-3</c:v>
                </c:pt>
                <c:pt idx="5">
                  <c:v>3.679916893408788E-3</c:v>
                </c:pt>
                <c:pt idx="6">
                  <c:v>5.0483125672643693E-3</c:v>
                </c:pt>
                <c:pt idx="7">
                  <c:v>6.4167082411199505E-3</c:v>
                </c:pt>
                <c:pt idx="8">
                  <c:v>1.0332359283636895E-2</c:v>
                </c:pt>
                <c:pt idx="9">
                  <c:v>1.4248010326153839E-2</c:v>
                </c:pt>
                <c:pt idx="10">
                  <c:v>1.8163661368670782E-2</c:v>
                </c:pt>
                <c:pt idx="11">
                  <c:v>2.2079312411187726E-2</c:v>
                </c:pt>
                <c:pt idx="12">
                  <c:v>4.1895969148116413E-2</c:v>
                </c:pt>
                <c:pt idx="13">
                  <c:v>6.17126258850451E-2</c:v>
                </c:pt>
                <c:pt idx="14">
                  <c:v>8.1529282621973787E-2</c:v>
                </c:pt>
                <c:pt idx="15">
                  <c:v>0.10134593935890247</c:v>
                </c:pt>
                <c:pt idx="16">
                  <c:v>0.12116259609583116</c:v>
                </c:pt>
                <c:pt idx="17">
                  <c:v>0.17449220354376152</c:v>
                </c:pt>
                <c:pt idx="18">
                  <c:v>0.22782181099169188</c:v>
                </c:pt>
                <c:pt idx="19">
                  <c:v>0.28115141843962221</c:v>
                </c:pt>
                <c:pt idx="20">
                  <c:v>0.33448102588755257</c:v>
                </c:pt>
                <c:pt idx="21">
                  <c:v>0.38781063333548293</c:v>
                </c:pt>
                <c:pt idx="22">
                  <c:v>0.4411402407834133</c:v>
                </c:pt>
                <c:pt idx="23">
                  <c:v>0.52448047621738592</c:v>
                </c:pt>
                <c:pt idx="24">
                  <c:v>0.60782071165135854</c:v>
                </c:pt>
                <c:pt idx="25">
                  <c:v>0.69116094708533116</c:v>
                </c:pt>
                <c:pt idx="26">
                  <c:v>0.77450118251930378</c:v>
                </c:pt>
                <c:pt idx="27">
                  <c:v>0.8578414179532764</c:v>
                </c:pt>
                <c:pt idx="28">
                  <c:v>0.94118165338724902</c:v>
                </c:pt>
                <c:pt idx="29">
                  <c:v>1.0245218888212215</c:v>
                </c:pt>
                <c:pt idx="30">
                  <c:v>1.1394164823405928</c:v>
                </c:pt>
                <c:pt idx="31">
                  <c:v>1.254311075859964</c:v>
                </c:pt>
                <c:pt idx="32">
                  <c:v>1.3692056693793353</c:v>
                </c:pt>
                <c:pt idx="33">
                  <c:v>1.4841002628987066</c:v>
                </c:pt>
                <c:pt idx="34">
                  <c:v>1.5989948564180778</c:v>
                </c:pt>
                <c:pt idx="35">
                  <c:v>1.7138894499374491</c:v>
                </c:pt>
                <c:pt idx="36">
                  <c:v>1.8287840434568203</c:v>
                </c:pt>
                <c:pt idx="37">
                  <c:v>1.9441112116427992</c:v>
                </c:pt>
                <c:pt idx="38">
                  <c:v>2.0594383798287783</c:v>
                </c:pt>
                <c:pt idx="39">
                  <c:v>2.1747655480147574</c:v>
                </c:pt>
                <c:pt idx="40">
                  <c:v>2.2900927162007365</c:v>
                </c:pt>
                <c:pt idx="41">
                  <c:v>2.4054198843867156</c:v>
                </c:pt>
                <c:pt idx="42">
                  <c:v>2.5207470525726947</c:v>
                </c:pt>
                <c:pt idx="43">
                  <c:v>2.6360742207586738</c:v>
                </c:pt>
                <c:pt idx="44">
                  <c:v>2.7514013889446529</c:v>
                </c:pt>
                <c:pt idx="45">
                  <c:v>2.866728557130632</c:v>
                </c:pt>
                <c:pt idx="46">
                  <c:v>2.9820557253166111</c:v>
                </c:pt>
                <c:pt idx="47">
                  <c:v>3.0973828935025902</c:v>
                </c:pt>
                <c:pt idx="48">
                  <c:v>3.2127100616885693</c:v>
                </c:pt>
                <c:pt idx="49">
                  <c:v>3.3284550080286519</c:v>
                </c:pt>
                <c:pt idx="50">
                  <c:v>3.4441999543687345</c:v>
                </c:pt>
                <c:pt idx="51">
                  <c:v>3.5599449007088171</c:v>
                </c:pt>
                <c:pt idx="52">
                  <c:v>3.6756898470488997</c:v>
                </c:pt>
                <c:pt idx="53">
                  <c:v>3.7914347933889823</c:v>
                </c:pt>
                <c:pt idx="54">
                  <c:v>3.9071797397290648</c:v>
                </c:pt>
                <c:pt idx="55">
                  <c:v>4.022924686069147</c:v>
                </c:pt>
                <c:pt idx="56">
                  <c:v>4.1712117916331595</c:v>
                </c:pt>
                <c:pt idx="57">
                  <c:v>4.3194988971971719</c:v>
                </c:pt>
                <c:pt idx="58">
                  <c:v>4.4677860027611844</c:v>
                </c:pt>
                <c:pt idx="59">
                  <c:v>4.5864596279384342</c:v>
                </c:pt>
                <c:pt idx="60">
                  <c:v>4.705133253115684</c:v>
                </c:pt>
                <c:pt idx="61">
                  <c:v>4.8238068782929338</c:v>
                </c:pt>
                <c:pt idx="62">
                  <c:v>4.9424805034701835</c:v>
                </c:pt>
                <c:pt idx="63">
                  <c:v>5.0392778915193395</c:v>
                </c:pt>
                <c:pt idx="64">
                  <c:v>5.1360752795684954</c:v>
                </c:pt>
                <c:pt idx="65">
                  <c:v>5.2328726676176514</c:v>
                </c:pt>
                <c:pt idx="66">
                  <c:v>5.3296700556668073</c:v>
                </c:pt>
                <c:pt idx="67">
                  <c:v>5.4264674437159632</c:v>
                </c:pt>
                <c:pt idx="68">
                  <c:v>5.5232648317651192</c:v>
                </c:pt>
                <c:pt idx="69">
                  <c:v>5.6200622198142751</c:v>
                </c:pt>
                <c:pt idx="70">
                  <c:v>5.7168596078634311</c:v>
                </c:pt>
                <c:pt idx="71">
                  <c:v>5.813656995912587</c:v>
                </c:pt>
                <c:pt idx="72">
                  <c:v>5.8938336417946022</c:v>
                </c:pt>
                <c:pt idx="73">
                  <c:v>5.9740102876766175</c:v>
                </c:pt>
                <c:pt idx="74">
                  <c:v>6.0541869335586327</c:v>
                </c:pt>
                <c:pt idx="75">
                  <c:v>6.1343635794406479</c:v>
                </c:pt>
                <c:pt idx="76">
                  <c:v>6.2145402253226631</c:v>
                </c:pt>
                <c:pt idx="77">
                  <c:v>6.2947168712046784</c:v>
                </c:pt>
                <c:pt idx="78">
                  <c:v>6.3748935170866936</c:v>
                </c:pt>
                <c:pt idx="79">
                  <c:v>6.4550701629687088</c:v>
                </c:pt>
                <c:pt idx="80">
                  <c:v>6.5352468088507241</c:v>
                </c:pt>
                <c:pt idx="81">
                  <c:v>6.6154234547327393</c:v>
                </c:pt>
                <c:pt idx="82">
                  <c:v>6.6956001006147545</c:v>
                </c:pt>
                <c:pt idx="83">
                  <c:v>6.7757767464967698</c:v>
                </c:pt>
                <c:pt idx="84">
                  <c:v>6.855953392378785</c:v>
                </c:pt>
                <c:pt idx="85">
                  <c:v>6.9361300382608002</c:v>
                </c:pt>
                <c:pt idx="86">
                  <c:v>7.0163066841428154</c:v>
                </c:pt>
                <c:pt idx="87">
                  <c:v>7.0964833300248307</c:v>
                </c:pt>
                <c:pt idx="88">
                  <c:v>7.1766599759068459</c:v>
                </c:pt>
                <c:pt idx="89">
                  <c:v>7.2568366217888611</c:v>
                </c:pt>
                <c:pt idx="90">
                  <c:v>7.3370132676708764</c:v>
                </c:pt>
                <c:pt idx="91">
                  <c:v>7.4171899135528916</c:v>
                </c:pt>
                <c:pt idx="92">
                  <c:v>7.4973665594349068</c:v>
                </c:pt>
                <c:pt idx="93">
                  <c:v>7.577543205316922</c:v>
                </c:pt>
                <c:pt idx="94">
                  <c:v>7.6577198511989373</c:v>
                </c:pt>
                <c:pt idx="95">
                  <c:v>7.7243795305053329</c:v>
                </c:pt>
                <c:pt idx="96">
                  <c:v>7.7910392098117285</c:v>
                </c:pt>
                <c:pt idx="97">
                  <c:v>7.8576988891181241</c:v>
                </c:pt>
                <c:pt idx="98">
                  <c:v>7.9243585684245197</c:v>
                </c:pt>
                <c:pt idx="99">
                  <c:v>7.9910182477309153</c:v>
                </c:pt>
                <c:pt idx="100">
                  <c:v>8.0576779270373109</c:v>
                </c:pt>
                <c:pt idx="101">
                  <c:v>8.1243376063437065</c:v>
                </c:pt>
                <c:pt idx="102">
                  <c:v>8.1918603088993294</c:v>
                </c:pt>
                <c:pt idx="103">
                  <c:v>8.2593830114549522</c:v>
                </c:pt>
                <c:pt idx="104">
                  <c:v>8.3269057140105751</c:v>
                </c:pt>
                <c:pt idx="105">
                  <c:v>8.394428416566198</c:v>
                </c:pt>
                <c:pt idx="106">
                  <c:v>8.4619511191218209</c:v>
                </c:pt>
                <c:pt idx="107">
                  <c:v>8.5294738216774437</c:v>
                </c:pt>
                <c:pt idx="108">
                  <c:v>8.5969965242330666</c:v>
                </c:pt>
                <c:pt idx="109">
                  <c:v>8.6680715455718698</c:v>
                </c:pt>
                <c:pt idx="110">
                  <c:v>8.7391465669106729</c:v>
                </c:pt>
                <c:pt idx="111">
                  <c:v>8.8102215882494761</c:v>
                </c:pt>
                <c:pt idx="112">
                  <c:v>8.8812966095882793</c:v>
                </c:pt>
                <c:pt idx="113">
                  <c:v>8.9523716309270824</c:v>
                </c:pt>
                <c:pt idx="114">
                  <c:v>9.0234466522658856</c:v>
                </c:pt>
                <c:pt idx="115">
                  <c:v>9.0945216736046888</c:v>
                </c:pt>
                <c:pt idx="116">
                  <c:v>9.1973646631275692</c:v>
                </c:pt>
                <c:pt idx="117">
                  <c:v>9.3002076526504496</c:v>
                </c:pt>
                <c:pt idx="118">
                  <c:v>9.3803200521905499</c:v>
                </c:pt>
                <c:pt idx="119">
                  <c:v>9.4604324517306502</c:v>
                </c:pt>
                <c:pt idx="120">
                  <c:v>9.5405448512707505</c:v>
                </c:pt>
                <c:pt idx="121">
                  <c:v>9.6206572508108508</c:v>
                </c:pt>
                <c:pt idx="122">
                  <c:v>9.6860053457979216</c:v>
                </c:pt>
                <c:pt idx="123">
                  <c:v>9.7513534407849924</c:v>
                </c:pt>
                <c:pt idx="124">
                  <c:v>9.8167015357720633</c:v>
                </c:pt>
                <c:pt idx="125">
                  <c:v>9.8820496307591341</c:v>
                </c:pt>
                <c:pt idx="126">
                  <c:v>9.947397725746205</c:v>
                </c:pt>
                <c:pt idx="127">
                  <c:v>10.012745820733276</c:v>
                </c:pt>
                <c:pt idx="128">
                  <c:v>10.078093915720347</c:v>
                </c:pt>
                <c:pt idx="129">
                  <c:v>10.143442010707417</c:v>
                </c:pt>
                <c:pt idx="130">
                  <c:v>10.208790105694488</c:v>
                </c:pt>
                <c:pt idx="131">
                  <c:v>10.274138200681559</c:v>
                </c:pt>
                <c:pt idx="132">
                  <c:v>10.33948629566863</c:v>
                </c:pt>
                <c:pt idx="133">
                  <c:v>10.404834390655701</c:v>
                </c:pt>
                <c:pt idx="134">
                  <c:v>10.470182485642772</c:v>
                </c:pt>
                <c:pt idx="135">
                  <c:v>10.535530580629842</c:v>
                </c:pt>
                <c:pt idx="136">
                  <c:v>10.600878675616913</c:v>
                </c:pt>
                <c:pt idx="137">
                  <c:v>10.667364677882246</c:v>
                </c:pt>
                <c:pt idx="138">
                  <c:v>10.733850680147578</c:v>
                </c:pt>
                <c:pt idx="139">
                  <c:v>10.80033668241291</c:v>
                </c:pt>
                <c:pt idx="140">
                  <c:v>10.866822684678242</c:v>
                </c:pt>
                <c:pt idx="141">
                  <c:v>10.933308686943574</c:v>
                </c:pt>
                <c:pt idx="142">
                  <c:v>10.985879618267083</c:v>
                </c:pt>
                <c:pt idx="143">
                  <c:v>11.038450549590591</c:v>
                </c:pt>
                <c:pt idx="144">
                  <c:v>11.091021480914099</c:v>
                </c:pt>
                <c:pt idx="145">
                  <c:v>11.143592412237608</c:v>
                </c:pt>
                <c:pt idx="146">
                  <c:v>11.186203728050643</c:v>
                </c:pt>
                <c:pt idx="147">
                  <c:v>11.228815043863678</c:v>
                </c:pt>
                <c:pt idx="148">
                  <c:v>11.271426359676713</c:v>
                </c:pt>
                <c:pt idx="149">
                  <c:v>11.314037675489748</c:v>
                </c:pt>
                <c:pt idx="150">
                  <c:v>11.356648991302784</c:v>
                </c:pt>
                <c:pt idx="151">
                  <c:v>11.399260307115819</c:v>
                </c:pt>
                <c:pt idx="152">
                  <c:v>11.433994938964171</c:v>
                </c:pt>
                <c:pt idx="153">
                  <c:v>11.468729570812522</c:v>
                </c:pt>
                <c:pt idx="154">
                  <c:v>11.503464202660874</c:v>
                </c:pt>
                <c:pt idx="155">
                  <c:v>11.538198834509226</c:v>
                </c:pt>
                <c:pt idx="156">
                  <c:v>11.572933466357577</c:v>
                </c:pt>
                <c:pt idx="157">
                  <c:v>11.607668098205929</c:v>
                </c:pt>
                <c:pt idx="158">
                  <c:v>11.636475737625119</c:v>
                </c:pt>
                <c:pt idx="159">
                  <c:v>11.665283377044309</c:v>
                </c:pt>
                <c:pt idx="160">
                  <c:v>11.694091016463499</c:v>
                </c:pt>
                <c:pt idx="161">
                  <c:v>11.722898655882689</c:v>
                </c:pt>
                <c:pt idx="162">
                  <c:v>11.751706295301879</c:v>
                </c:pt>
                <c:pt idx="163">
                  <c:v>11.780513934721069</c:v>
                </c:pt>
                <c:pt idx="164">
                  <c:v>11.80932157414026</c:v>
                </c:pt>
                <c:pt idx="165">
                  <c:v>11.83265817702207</c:v>
                </c:pt>
                <c:pt idx="166">
                  <c:v>11.855994779903881</c:v>
                </c:pt>
                <c:pt idx="167">
                  <c:v>11.879331382785692</c:v>
                </c:pt>
                <c:pt idx="168">
                  <c:v>11.902667985667502</c:v>
                </c:pt>
                <c:pt idx="169">
                  <c:v>11.926004588549313</c:v>
                </c:pt>
                <c:pt idx="170">
                  <c:v>11.949341191431124</c:v>
                </c:pt>
                <c:pt idx="171">
                  <c:v>11.972677794312935</c:v>
                </c:pt>
                <c:pt idx="172">
                  <c:v>11.991621577873509</c:v>
                </c:pt>
                <c:pt idx="173">
                  <c:v>12.010565361434084</c:v>
                </c:pt>
                <c:pt idx="174">
                  <c:v>12.029509144994659</c:v>
                </c:pt>
                <c:pt idx="175">
                  <c:v>12.048452928555234</c:v>
                </c:pt>
                <c:pt idx="176">
                  <c:v>12.067396712115809</c:v>
                </c:pt>
                <c:pt idx="177">
                  <c:v>12.086340495676383</c:v>
                </c:pt>
                <c:pt idx="178">
                  <c:v>12.105284279236958</c:v>
                </c:pt>
                <c:pt idx="179">
                  <c:v>12.120695723184911</c:v>
                </c:pt>
                <c:pt idx="180">
                  <c:v>12.136107167132863</c:v>
                </c:pt>
                <c:pt idx="181">
                  <c:v>12.151518611080816</c:v>
                </c:pt>
                <c:pt idx="182">
                  <c:v>12.166930055028768</c:v>
                </c:pt>
                <c:pt idx="183">
                  <c:v>12.18234149897672</c:v>
                </c:pt>
                <c:pt idx="184">
                  <c:v>12.197752942924673</c:v>
                </c:pt>
                <c:pt idx="185">
                  <c:v>12.213164386872625</c:v>
                </c:pt>
                <c:pt idx="186">
                  <c:v>12.225742639980151</c:v>
                </c:pt>
                <c:pt idx="187">
                  <c:v>12.238320893087677</c:v>
                </c:pt>
                <c:pt idx="188">
                  <c:v>12.250899146195202</c:v>
                </c:pt>
                <c:pt idx="189">
                  <c:v>12.263477399302728</c:v>
                </c:pt>
                <c:pt idx="190">
                  <c:v>12.276055652410253</c:v>
                </c:pt>
                <c:pt idx="191">
                  <c:v>12.288633905517779</c:v>
                </c:pt>
                <c:pt idx="192">
                  <c:v>12.301212158625304</c:v>
                </c:pt>
                <c:pt idx="193">
                  <c:v>12.311522467751955</c:v>
                </c:pt>
                <c:pt idx="194">
                  <c:v>12.321832776878605</c:v>
                </c:pt>
                <c:pt idx="195">
                  <c:v>12.332143086005255</c:v>
                </c:pt>
                <c:pt idx="196">
                  <c:v>12.342453395131905</c:v>
                </c:pt>
                <c:pt idx="197">
                  <c:v>12.352763704258555</c:v>
                </c:pt>
                <c:pt idx="198">
                  <c:v>12.363074013385205</c:v>
                </c:pt>
                <c:pt idx="199">
                  <c:v>12.373384322511855</c:v>
                </c:pt>
                <c:pt idx="200">
                  <c:v>12.381887144297396</c:v>
                </c:pt>
                <c:pt idx="201">
                  <c:v>12.390389966082937</c:v>
                </c:pt>
                <c:pt idx="202">
                  <c:v>12.398892787868478</c:v>
                </c:pt>
                <c:pt idx="203">
                  <c:v>12.407395609654019</c:v>
                </c:pt>
                <c:pt idx="204">
                  <c:v>12.41589843143956</c:v>
                </c:pt>
                <c:pt idx="205">
                  <c:v>12.424401253225101</c:v>
                </c:pt>
                <c:pt idx="206">
                  <c:v>12.432904075010642</c:v>
                </c:pt>
                <c:pt idx="207">
                  <c:v>12.439979337143663</c:v>
                </c:pt>
                <c:pt idx="208">
                  <c:v>12.447054599276685</c:v>
                </c:pt>
                <c:pt idx="209">
                  <c:v>12.454129861409706</c:v>
                </c:pt>
                <c:pt idx="210">
                  <c:v>12.461205123542728</c:v>
                </c:pt>
                <c:pt idx="211">
                  <c:v>12.468280385675749</c:v>
                </c:pt>
                <c:pt idx="212">
                  <c:v>12.475355647808771</c:v>
                </c:pt>
                <c:pt idx="213">
                  <c:v>12.482430909941792</c:v>
                </c:pt>
                <c:pt idx="214">
                  <c:v>12.489506172074814</c:v>
                </c:pt>
                <c:pt idx="215">
                  <c:v>12.495323254598819</c:v>
                </c:pt>
                <c:pt idx="216">
                  <c:v>12.501140337122825</c:v>
                </c:pt>
                <c:pt idx="217">
                  <c:v>12.506957419646831</c:v>
                </c:pt>
                <c:pt idx="218">
                  <c:v>12.512774502170837</c:v>
                </c:pt>
                <c:pt idx="219">
                  <c:v>12.518591584694843</c:v>
                </c:pt>
                <c:pt idx="220">
                  <c:v>12.524408667218848</c:v>
                </c:pt>
                <c:pt idx="221">
                  <c:v>12.530225749742854</c:v>
                </c:pt>
                <c:pt idx="222">
                  <c:v>12.53604283226686</c:v>
                </c:pt>
                <c:pt idx="223">
                  <c:v>12.541859914790866</c:v>
                </c:pt>
                <c:pt idx="224">
                  <c:v>12.547676997314872</c:v>
                </c:pt>
                <c:pt idx="225">
                  <c:v>12.553494079838877</c:v>
                </c:pt>
              </c:numCache>
            </c:numRef>
          </c:xVal>
          <c:yVal>
            <c:numRef>
              <c:f>'Figure 3'!$I$24:$I$249</c:f>
              <c:numCache>
                <c:formatCode>General</c:formatCode>
                <c:ptCount val="226"/>
                <c:pt idx="0">
                  <c:v>0</c:v>
                </c:pt>
                <c:pt idx="1">
                  <c:v>8.5591093618013003E-7</c:v>
                </c:pt>
                <c:pt idx="2">
                  <c:v>1.7119467818356116E-6</c:v>
                </c:pt>
                <c:pt idx="3">
                  <c:v>2.5681101883760599E-6</c:v>
                </c:pt>
                <c:pt idx="4">
                  <c:v>6.2961602116704729E-6</c:v>
                </c:pt>
                <c:pt idx="5">
                  <c:v>1.0026584678078441E-5</c:v>
                </c:pt>
                <c:pt idx="6">
                  <c:v>1.3759422631272144E-5</c:v>
                </c:pt>
                <c:pt idx="7">
                  <c:v>1.7494688890652465E-5</c:v>
                </c:pt>
                <c:pt idx="8">
                  <c:v>2.8196568994177047E-5</c:v>
                </c:pt>
                <c:pt idx="9">
                  <c:v>3.89184039182295E-5</c:v>
                </c:pt>
                <c:pt idx="10">
                  <c:v>4.9660230185382042E-5</c:v>
                </c:pt>
                <c:pt idx="11">
                  <c:v>6.0422084718552945E-5</c:v>
                </c:pt>
                <c:pt idx="12">
                  <c:v>1.1519508265315447E-4</c:v>
                </c:pt>
                <c:pt idx="13">
                  <c:v>1.7048683400788426E-4</c:v>
                </c:pt>
                <c:pt idx="14">
                  <c:v>2.2630222571291074E-4</c:v>
                </c:pt>
                <c:pt idx="15">
                  <c:v>2.8264618835921544E-4</c:v>
                </c:pt>
                <c:pt idx="16">
                  <c:v>3.3952369503844205E-4</c:v>
                </c:pt>
                <c:pt idx="17">
                  <c:v>4.9527872478725412E-4</c:v>
                </c:pt>
                <c:pt idx="18">
                  <c:v>6.5503383601717591E-4</c:v>
                </c:pt>
                <c:pt idx="19">
                  <c:v>8.18891010507711E-4</c:v>
                </c:pt>
                <c:pt idx="20">
                  <c:v>9.8695480406444215E-4</c:v>
                </c:pt>
                <c:pt idx="21">
                  <c:v>1.1593323984418868E-3</c:v>
                </c:pt>
                <c:pt idx="22">
                  <c:v>1.3361336587373342E-3</c:v>
                </c:pt>
                <c:pt idx="23">
                  <c:v>1.6215547078809803E-3</c:v>
                </c:pt>
                <c:pt idx="24">
                  <c:v>1.9184985445518058E-3</c:v>
                </c:pt>
                <c:pt idx="25">
                  <c:v>2.2274263055935902E-3</c:v>
                </c:pt>
                <c:pt idx="26">
                  <c:v>2.5488172531914761E-3</c:v>
                </c:pt>
                <c:pt idx="27">
                  <c:v>2.8831694516862905E-3</c:v>
                </c:pt>
                <c:pt idx="28">
                  <c:v>3.2310004732398674E-3</c:v>
                </c:pt>
                <c:pt idx="29">
                  <c:v>3.5928481327684755E-3</c:v>
                </c:pt>
                <c:pt idx="30">
                  <c:v>4.1157163648048826E-3</c:v>
                </c:pt>
                <c:pt idx="31">
                  <c:v>4.6678223319764692E-3</c:v>
                </c:pt>
                <c:pt idx="32">
                  <c:v>5.250781344885054E-3</c:v>
                </c:pt>
                <c:pt idx="33">
                  <c:v>5.8662956925291509E-3</c:v>
                </c:pt>
                <c:pt idx="34">
                  <c:v>6.5161590703478565E-3</c:v>
                </c:pt>
                <c:pt idx="35">
                  <c:v>7.2022611949199141E-3</c:v>
                </c:pt>
                <c:pt idx="36">
                  <c:v>7.92659261512162E-3</c:v>
                </c:pt>
                <c:pt idx="37">
                  <c:v>8.6942075892288157E-3</c:v>
                </c:pt>
                <c:pt idx="38">
                  <c:v>9.5046852746105987E-3</c:v>
                </c:pt>
                <c:pt idx="39">
                  <c:v>1.0360376696988728E-2</c:v>
                </c:pt>
                <c:pt idx="40">
                  <c:v>1.1263756942031387E-2</c:v>
                </c:pt>
                <c:pt idx="41">
                  <c:v>1.2217431134001009E-2</c:v>
                </c:pt>
                <c:pt idx="42">
                  <c:v>1.3224140636057417E-2</c:v>
                </c:pt>
                <c:pt idx="43">
                  <c:v>1.4286769472227408E-2</c:v>
                </c:pt>
                <c:pt idx="44">
                  <c:v>1.5408350969174854E-2</c:v>
                </c:pt>
                <c:pt idx="45">
                  <c:v>1.6592074614545704E-2</c:v>
                </c:pt>
                <c:pt idx="46">
                  <c:v>1.7841293127282203E-2</c:v>
                </c:pt>
                <c:pt idx="47">
                  <c:v>1.9159529733413904E-2</c:v>
                </c:pt>
                <c:pt idx="48">
                  <c:v>2.0550485638474839E-2</c:v>
                </c:pt>
                <c:pt idx="49">
                  <c:v>2.2023508149952908E-2</c:v>
                </c:pt>
                <c:pt idx="50">
                  <c:v>2.3577818126428261E-2</c:v>
                </c:pt>
                <c:pt idx="51">
                  <c:v>2.5217745161431233E-2</c:v>
                </c:pt>
                <c:pt idx="52">
                  <c:v>2.6947831524607436E-2</c:v>
                </c:pt>
                <c:pt idx="53">
                  <c:v>2.877284053557335E-2</c:v>
                </c:pt>
                <c:pt idx="54">
                  <c:v>3.0697765017874259E-2</c:v>
                </c:pt>
                <c:pt idx="55">
                  <c:v>3.2727835798384002E-2</c:v>
                </c:pt>
                <c:pt idx="56">
                  <c:v>3.5491097103143646E-2</c:v>
                </c:pt>
                <c:pt idx="57">
                  <c:v>3.844808574279536E-2</c:v>
                </c:pt>
                <c:pt idx="58">
                  <c:v>4.1611649633081664E-2</c:v>
                </c:pt>
                <c:pt idx="59">
                  <c:v>4.4301365778037061E-2</c:v>
                </c:pt>
                <c:pt idx="60">
                  <c:v>4.713939941675413E-2</c:v>
                </c:pt>
                <c:pt idx="61">
                  <c:v>5.0133396042455973E-2</c:v>
                </c:pt>
                <c:pt idx="62">
                  <c:v>5.3291333471831764E-2</c:v>
                </c:pt>
                <c:pt idx="63">
                  <c:v>5.5994302766457268E-2</c:v>
                </c:pt>
                <c:pt idx="64">
                  <c:v>5.8816552948017999E-2</c:v>
                </c:pt>
                <c:pt idx="65">
                  <c:v>6.1762922683020166E-2</c:v>
                </c:pt>
                <c:pt idx="66">
                  <c:v>6.4838407420668265E-2</c:v>
                </c:pt>
                <c:pt idx="67">
                  <c:v>6.8048160712641206E-2</c:v>
                </c:pt>
                <c:pt idx="68">
                  <c:v>7.139749511076468E-2</c:v>
                </c:pt>
                <c:pt idx="69">
                  <c:v>7.4891882617430502E-2</c:v>
                </c:pt>
                <c:pt idx="70">
                  <c:v>7.8536954642907122E-2</c:v>
                </c:pt>
                <c:pt idx="71">
                  <c:v>8.2338501406092821E-2</c:v>
                </c:pt>
                <c:pt idx="72">
                  <c:v>8.5610018705694832E-2</c:v>
                </c:pt>
                <c:pt idx="73">
                  <c:v>8.8996427421449961E-2</c:v>
                </c:pt>
                <c:pt idx="74">
                  <c:v>9.2501260761574222E-2</c:v>
                </c:pt>
                <c:pt idx="75">
                  <c:v>9.6128122988475645E-2</c:v>
                </c:pt>
                <c:pt idx="76">
                  <c:v>9.9880687886405639E-2</c:v>
                </c:pt>
                <c:pt idx="77">
                  <c:v>0.10376269692030501</c:v>
                </c:pt>
                <c:pt idx="78">
                  <c:v>0.10777795708838683</c:v>
                </c:pt>
                <c:pt idx="79">
                  <c:v>0.11193033845207916</c:v>
                </c:pt>
                <c:pt idx="80">
                  <c:v>0.11622377131367609</c:v>
                </c:pt>
                <c:pt idx="81">
                  <c:v>0.12066224301536201</c:v>
                </c:pt>
                <c:pt idx="82">
                  <c:v>0.12524979434103475</c:v>
                </c:pt>
                <c:pt idx="83">
                  <c:v>0.12999051550395155</c:v>
                </c:pt>
                <c:pt idx="84">
                  <c:v>0.13488854170009557</c:v>
                </c:pt>
                <c:pt idx="85">
                  <c:v>0.13994804820517198</c:v>
                </c:pt>
                <c:pt idx="86">
                  <c:v>0.14517324499412568</c:v>
                </c:pt>
                <c:pt idx="87">
                  <c:v>0.15056837086395641</c:v>
                </c:pt>
                <c:pt idx="88">
                  <c:v>0.15613768704161268</c:v>
                </c:pt>
                <c:pt idx="89">
                  <c:v>0.16188547025914143</c:v>
                </c:pt>
                <c:pt idx="90">
                  <c:v>0.16781600527906881</c:v>
                </c:pt>
                <c:pt idx="91">
                  <c:v>0.17393357685450442</c:v>
                </c:pt>
                <c:pt idx="92">
                  <c:v>0.18024246111036529</c:v>
                </c:pt>
                <c:pt idx="93">
                  <c:v>0.18674691633411244</c:v>
                </c:pt>
                <c:pt idx="94">
                  <c:v>0.19345117316654323</c:v>
                </c:pt>
                <c:pt idx="95">
                  <c:v>0.19918028877962082</c:v>
                </c:pt>
                <c:pt idx="96">
                  <c:v>0.20505279899598242</c:v>
                </c:pt>
                <c:pt idx="97">
                  <c:v>0.21107105992494998</c:v>
                </c:pt>
                <c:pt idx="98">
                  <c:v>0.21723739484205465</c:v>
                </c:pt>
                <c:pt idx="99">
                  <c:v>0.22355408918361905</c:v>
                </c:pt>
                <c:pt idx="100">
                  <c:v>0.23002338532917069</c:v>
                </c:pt>
                <c:pt idx="101">
                  <c:v>0.23664747719784185</c:v>
                </c:pt>
                <c:pt idx="102">
                  <c:v>0.24351733490486838</c:v>
                </c:pt>
                <c:pt idx="103">
                  <c:v>0.25055037944672071</c:v>
                </c:pt>
                <c:pt idx="104">
                  <c:v>0.25774870297874908</c:v>
                </c:pt>
                <c:pt idx="105">
                  <c:v>0.26511432181536759</c:v>
                </c:pt>
                <c:pt idx="106">
                  <c:v>0.27264916972823883</c:v>
                </c:pt>
                <c:pt idx="107">
                  <c:v>0.28035509108570933</c:v>
                </c:pt>
                <c:pt idx="108">
                  <c:v>0.28823383384451828</c:v>
                </c:pt>
                <c:pt idx="109">
                  <c:v>0.29671557593642289</c:v>
                </c:pt>
                <c:pt idx="110">
                  <c:v>0.30539240758432779</c:v>
                </c:pt>
                <c:pt idx="111">
                  <c:v>0.31426596818851693</c:v>
                </c:pt>
                <c:pt idx="112">
                  <c:v>0.32333774196865078</c:v>
                </c:pt>
                <c:pt idx="113">
                  <c:v>0.33260904826226489</c:v>
                </c:pt>
                <c:pt idx="114">
                  <c:v>0.34208103177879229</c:v>
                </c:pt>
                <c:pt idx="115">
                  <c:v>0.35175465284067109</c:v>
                </c:pt>
                <c:pt idx="116">
                  <c:v>0.36611051152414359</c:v>
                </c:pt>
                <c:pt idx="117">
                  <c:v>0.38089166288481752</c:v>
                </c:pt>
                <c:pt idx="118">
                  <c:v>0.39270095577019376</c:v>
                </c:pt>
                <c:pt idx="119">
                  <c:v>0.4047685679828284</c:v>
                </c:pt>
                <c:pt idx="120">
                  <c:v>0.41709397250249181</c:v>
                </c:pt>
                <c:pt idx="121">
                  <c:v>0.42967623698860385</c:v>
                </c:pt>
                <c:pt idx="122">
                  <c:v>0.44012894315816037</c:v>
                </c:pt>
                <c:pt idx="123">
                  <c:v>0.45075071733030647</c:v>
                </c:pt>
                <c:pt idx="124">
                  <c:v>0.46154041391835154</c:v>
                </c:pt>
                <c:pt idx="125">
                  <c:v>0.47249668502105191</c:v>
                </c:pt>
                <c:pt idx="126">
                  <c:v>0.48361797600008705</c:v>
                </c:pt>
                <c:pt idx="127">
                  <c:v>0.49490252137107393</c:v>
                </c:pt>
                <c:pt idx="128">
                  <c:v>0.50634834099674275</c:v>
                </c:pt>
                <c:pt idx="129">
                  <c:v>0.51795323658724068</c:v>
                </c:pt>
                <c:pt idx="130">
                  <c:v>0.52971478852160536</c:v>
                </c:pt>
                <c:pt idx="131">
                  <c:v>0.54163035299543527</c:v>
                </c:pt>
                <c:pt idx="132">
                  <c:v>0.55369705948485493</c:v>
                </c:pt>
                <c:pt idx="133">
                  <c:v>0.56591180850661837</c:v>
                </c:pt>
                <c:pt idx="134">
                  <c:v>0.57827126964733322</c:v>
                </c:pt>
                <c:pt idx="135">
                  <c:v>0.59077187982526291</c:v>
                </c:pt>
                <c:pt idx="136">
                  <c:v>0.60340984173329681</c:v>
                </c:pt>
                <c:pt idx="137">
                  <c:v>0.61640466474290578</c:v>
                </c:pt>
                <c:pt idx="138">
                  <c:v>0.62953298993183293</c:v>
                </c:pt>
                <c:pt idx="139">
                  <c:v>0.64279006233388947</c:v>
                </c:pt>
                <c:pt idx="140">
                  <c:v>0.65617086929243806</c:v>
                </c:pt>
                <c:pt idx="141">
                  <c:v>0.66967013798548436</c:v>
                </c:pt>
                <c:pt idx="142">
                  <c:v>0.68042433058646834</c:v>
                </c:pt>
                <c:pt idx="143">
                  <c:v>0.69124627612477418</c:v>
                </c:pt>
                <c:pt idx="144">
                  <c:v>0.70213301278392759</c:v>
                </c:pt>
                <c:pt idx="145">
                  <c:v>0.71308146988580279</c:v>
                </c:pt>
                <c:pt idx="146">
                  <c:v>0.72199883539585863</c:v>
                </c:pt>
                <c:pt idx="147">
                  <c:v>0.73095291148374542</c:v>
                </c:pt>
                <c:pt idx="148">
                  <c:v>0.73994189604182148</c:v>
                </c:pt>
                <c:pt idx="149">
                  <c:v>0.74896393322383614</c:v>
                </c:pt>
                <c:pt idx="150">
                  <c:v>0.75801711090186463</c:v>
                </c:pt>
                <c:pt idx="151">
                  <c:v>0.76709945753841313</c:v>
                </c:pt>
                <c:pt idx="152">
                  <c:v>0.77452310528684409</c:v>
                </c:pt>
                <c:pt idx="153">
                  <c:v>0.7819636489702918</c:v>
                </c:pt>
                <c:pt idx="154">
                  <c:v>0.78941992139811967</c:v>
                </c:pt>
                <c:pt idx="155">
                  <c:v>0.7968907210907612</c:v>
                </c:pt>
                <c:pt idx="156">
                  <c:v>0.80437480947999596</c:v>
                </c:pt>
                <c:pt idx="157">
                  <c:v>0.81187090757366542</c:v>
                </c:pt>
                <c:pt idx="158">
                  <c:v>0.81809606379691735</c:v>
                </c:pt>
                <c:pt idx="159">
                  <c:v>0.82432779115029597</c:v>
                </c:pt>
                <c:pt idx="160">
                  <c:v>0.8305652839453872</c:v>
                </c:pt>
                <c:pt idx="161">
                  <c:v>0.83680770863113108</c:v>
                </c:pt>
                <c:pt idx="162">
                  <c:v>0.84305420085554139</c:v>
                </c:pt>
                <c:pt idx="163">
                  <c:v>0.8493038620140021</c:v>
                </c:pt>
                <c:pt idx="164">
                  <c:v>0.85555575520756733</c:v>
                </c:pt>
                <c:pt idx="165">
                  <c:v>0.86062127784678588</c:v>
                </c:pt>
                <c:pt idx="166">
                  <c:v>0.8656870790368113</c:v>
                </c:pt>
                <c:pt idx="167">
                  <c:v>0.87075259146481632</c:v>
                </c:pt>
                <c:pt idx="168">
                  <c:v>0.87581722196981882</c:v>
                </c:pt>
                <c:pt idx="169">
                  <c:v>0.88088034848341912</c:v>
                </c:pt>
                <c:pt idx="170">
                  <c:v>0.88594131645712204</c:v>
                </c:pt>
                <c:pt idx="171">
                  <c:v>0.89099943470477672</c:v>
                </c:pt>
                <c:pt idx="172">
                  <c:v>0.89510282736343083</c:v>
                </c:pt>
                <c:pt idx="173">
                  <c:v>0.89920344577517675</c:v>
                </c:pt>
                <c:pt idx="174">
                  <c:v>0.90330085259047121</c:v>
                </c:pt>
                <c:pt idx="175">
                  <c:v>0.90739458496243286</c:v>
                </c:pt>
                <c:pt idx="176">
                  <c:v>0.91148415143818673</c:v>
                </c:pt>
                <c:pt idx="177">
                  <c:v>0.91556902834152865</c:v>
                </c:pt>
                <c:pt idx="178">
                  <c:v>0.91964865557701736</c:v>
                </c:pt>
                <c:pt idx="179">
                  <c:v>0.92296329074546413</c:v>
                </c:pt>
                <c:pt idx="180">
                  <c:v>0.92627370786693886</c:v>
                </c:pt>
                <c:pt idx="181">
                  <c:v>0.92957953748541333</c:v>
                </c:pt>
                <c:pt idx="182">
                  <c:v>0.93288038449455657</c:v>
                </c:pt>
                <c:pt idx="183">
                  <c:v>0.93617582501049779</c:v>
                </c:pt>
                <c:pt idx="184">
                  <c:v>0.93946540274268409</c:v>
                </c:pt>
                <c:pt idx="185">
                  <c:v>0.94274862479542987</c:v>
                </c:pt>
                <c:pt idx="186">
                  <c:v>0.94542318901023026</c:v>
                </c:pt>
                <c:pt idx="187">
                  <c:v>0.94809285098676332</c:v>
                </c:pt>
                <c:pt idx="188">
                  <c:v>0.95075727387675835</c:v>
                </c:pt>
                <c:pt idx="189">
                  <c:v>0.95341609481278111</c:v>
                </c:pt>
                <c:pt idx="190">
                  <c:v>0.95606892177048985</c:v>
                </c:pt>
                <c:pt idx="191">
                  <c:v>0.95871532993780129</c:v>
                </c:pt>
                <c:pt idx="192">
                  <c:v>0.96135485752680738</c:v>
                </c:pt>
                <c:pt idx="193">
                  <c:v>0.9635129774452339</c:v>
                </c:pt>
                <c:pt idx="194">
                  <c:v>0.96566583598463329</c:v>
                </c:pt>
                <c:pt idx="195">
                  <c:v>0.96781310843708945</c:v>
                </c:pt>
                <c:pt idx="196">
                  <c:v>0.96995444353977955</c:v>
                </c:pt>
                <c:pt idx="197">
                  <c:v>0.9720894603280148</c:v>
                </c:pt>
                <c:pt idx="198">
                  <c:v>0.97421774450715615</c:v>
                </c:pt>
                <c:pt idx="199">
                  <c:v>0.97633884428374418</c:v>
                </c:pt>
                <c:pt idx="200">
                  <c:v>0.97808234260175886</c:v>
                </c:pt>
                <c:pt idx="201">
                  <c:v>0.97982031819628312</c:v>
                </c:pt>
                <c:pt idx="202">
                  <c:v>0.98155244512926909</c:v>
                </c:pt>
                <c:pt idx="203">
                  <c:v>0.98327837013889097</c:v>
                </c:pt>
                <c:pt idx="204">
                  <c:v>0.98499770948050669</c:v>
                </c:pt>
                <c:pt idx="205">
                  <c:v>0.98671004530333617</c:v>
                </c:pt>
                <c:pt idx="206">
                  <c:v>0.988414921509575</c:v>
                </c:pt>
                <c:pt idx="207">
                  <c:v>0.98982751804475377</c:v>
                </c:pt>
                <c:pt idx="208">
                  <c:v>0.99123429197899215</c:v>
                </c:pt>
                <c:pt idx="209">
                  <c:v>0.99263490473887706</c:v>
                </c:pt>
                <c:pt idx="210">
                  <c:v>0.99402898925830663</c:v>
                </c:pt>
                <c:pt idx="211">
                  <c:v>0.99541614680011803</c:v>
                </c:pt>
                <c:pt idx="212">
                  <c:v>0.99679594333850263</c:v>
                </c:pt>
                <c:pt idx="213">
                  <c:v>0.99816790545845824</c:v>
                </c:pt>
                <c:pt idx="214">
                  <c:v>0.99953151570082821</c:v>
                </c:pt>
                <c:pt idx="215">
                  <c:v>1.0006459840659192</c:v>
                </c:pt>
                <c:pt idx="216">
                  <c:v>1.0017540819731328</c:v>
                </c:pt>
                <c:pt idx="217">
                  <c:v>1.0028554387718589</c:v>
                </c:pt>
                <c:pt idx="218">
                  <c:v>1.003949653097117</c:v>
                </c:pt>
                <c:pt idx="219">
                  <c:v>1.0050362896702678</c:v>
                </c:pt>
                <c:pt idx="220">
                  <c:v>1.0061148757100478</c:v>
                </c:pt>
                <c:pt idx="221">
                  <c:v>1.0071848969353199</c:v>
                </c:pt>
                <c:pt idx="222">
                  <c:v>1.0082457931187339</c:v>
                </c:pt>
                <c:pt idx="223">
                  <c:v>1.0092969531351283</c:v>
                </c:pt>
                <c:pt idx="224">
                  <c:v>1.0103377094528367</c:v>
                </c:pt>
                <c:pt idx="225">
                  <c:v>1.0113673320284386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25-4563-91EC-8EF600881A12}"/>
            </c:ext>
          </c:extLst>
        </c:ser>
        <c:ser>
          <c:idx val="5"/>
          <c:order val="2"/>
          <c:tx>
            <c:strRef>
              <c:f>'Figure 3'!$B$21</c:f>
              <c:strCache>
                <c:ptCount val="1"/>
                <c:pt idx="0">
                  <c:v>biomass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'Figure 3'!$A$24:$A$320</c:f>
              <c:numCache>
                <c:formatCode>General</c:formatCode>
                <c:ptCount val="297"/>
                <c:pt idx="0">
                  <c:v>0</c:v>
                </c:pt>
                <c:pt idx="1">
                  <c:v>3.1394887688818509E-4</c:v>
                </c:pt>
                <c:pt idx="2">
                  <c:v>6.2789775377637019E-4</c:v>
                </c:pt>
                <c:pt idx="3">
                  <c:v>9.4184663066455528E-4</c:v>
                </c:pt>
                <c:pt idx="4">
                  <c:v>2.308354036891946E-3</c:v>
                </c:pt>
                <c:pt idx="5">
                  <c:v>3.6748614431193365E-3</c:v>
                </c:pt>
                <c:pt idx="6">
                  <c:v>5.0413688493467276E-3</c:v>
                </c:pt>
                <c:pt idx="7">
                  <c:v>6.4078762555741181E-3</c:v>
                </c:pt>
                <c:pt idx="8">
                  <c:v>1.0317070004513464E-2</c:v>
                </c:pt>
                <c:pt idx="9">
                  <c:v>1.422626375345281E-2</c:v>
                </c:pt>
                <c:pt idx="10">
                  <c:v>1.8135457502392156E-2</c:v>
                </c:pt>
                <c:pt idx="11">
                  <c:v>2.2044651251331503E-2</c:v>
                </c:pt>
                <c:pt idx="12">
                  <c:v>4.1712110837326219E-2</c:v>
                </c:pt>
                <c:pt idx="13">
                  <c:v>6.1379570423320935E-2</c:v>
                </c:pt>
                <c:pt idx="14">
                  <c:v>8.1047030009315651E-2</c:v>
                </c:pt>
                <c:pt idx="15">
                  <c:v>0.10071448959531037</c:v>
                </c:pt>
                <c:pt idx="16">
                  <c:v>0.1203819491813051</c:v>
                </c:pt>
                <c:pt idx="17">
                  <c:v>0.17366230158341595</c:v>
                </c:pt>
                <c:pt idx="18">
                  <c:v>0.22694265398552679</c:v>
                </c:pt>
                <c:pt idx="19">
                  <c:v>0.28022300638763764</c:v>
                </c:pt>
                <c:pt idx="20">
                  <c:v>0.33350335878974846</c:v>
                </c:pt>
                <c:pt idx="21">
                  <c:v>0.38678371119185928</c:v>
                </c:pt>
                <c:pt idx="22">
                  <c:v>0.4400640635939701</c:v>
                </c:pt>
                <c:pt idx="23">
                  <c:v>0.52286137965250024</c:v>
                </c:pt>
                <c:pt idx="24">
                  <c:v>0.60565869571103037</c:v>
                </c:pt>
                <c:pt idx="25">
                  <c:v>0.68845601176956051</c:v>
                </c:pt>
                <c:pt idx="26">
                  <c:v>0.77125332782809064</c:v>
                </c:pt>
                <c:pt idx="27">
                  <c:v>0.85405064388662078</c:v>
                </c:pt>
                <c:pt idx="28">
                  <c:v>0.93684795994515091</c:v>
                </c:pt>
                <c:pt idx="29">
                  <c:v>1.0196452760036812</c:v>
                </c:pt>
                <c:pt idx="30">
                  <c:v>1.1297158108341552</c:v>
                </c:pt>
                <c:pt idx="31">
                  <c:v>1.2397863456646292</c:v>
                </c:pt>
                <c:pt idx="32">
                  <c:v>1.3498568804951032</c:v>
                </c:pt>
                <c:pt idx="33">
                  <c:v>1.4599274153255772</c:v>
                </c:pt>
                <c:pt idx="34">
                  <c:v>1.5699979501560513</c:v>
                </c:pt>
                <c:pt idx="35">
                  <c:v>1.6800684849865253</c:v>
                </c:pt>
                <c:pt idx="36">
                  <c:v>1.7901390198169993</c:v>
                </c:pt>
                <c:pt idx="37">
                  <c:v>1.9002095546474733</c:v>
                </c:pt>
                <c:pt idx="38">
                  <c:v>2.0102800894779476</c:v>
                </c:pt>
                <c:pt idx="39">
                  <c:v>2.1203506243084216</c:v>
                </c:pt>
                <c:pt idx="40">
                  <c:v>2.2304211591388956</c:v>
                </c:pt>
                <c:pt idx="41">
                  <c:v>2.3404916939693696</c:v>
                </c:pt>
                <c:pt idx="42">
                  <c:v>2.4505622287998436</c:v>
                </c:pt>
                <c:pt idx="43">
                  <c:v>2.5606327636303177</c:v>
                </c:pt>
                <c:pt idx="44">
                  <c:v>2.6707032984607917</c:v>
                </c:pt>
                <c:pt idx="45">
                  <c:v>2.7807738332912657</c:v>
                </c:pt>
                <c:pt idx="46">
                  <c:v>2.8908443681217397</c:v>
                </c:pt>
                <c:pt idx="47">
                  <c:v>3.0009149029522137</c:v>
                </c:pt>
                <c:pt idx="48">
                  <c:v>3.1109854377826878</c:v>
                </c:pt>
                <c:pt idx="49">
                  <c:v>3.2210559726131618</c:v>
                </c:pt>
                <c:pt idx="50">
                  <c:v>3.3311265074436358</c:v>
                </c:pt>
                <c:pt idx="51">
                  <c:v>3.4411970422741098</c:v>
                </c:pt>
                <c:pt idx="52">
                  <c:v>3.5512675771045839</c:v>
                </c:pt>
                <c:pt idx="53">
                  <c:v>3.6613381119350579</c:v>
                </c:pt>
                <c:pt idx="54">
                  <c:v>3.7527527305482407</c:v>
                </c:pt>
                <c:pt idx="55">
                  <c:v>3.8441673491614234</c:v>
                </c:pt>
                <c:pt idx="56">
                  <c:v>3.9355819677746062</c:v>
                </c:pt>
                <c:pt idx="57">
                  <c:v>4.0269965863877886</c:v>
                </c:pt>
                <c:pt idx="58">
                  <c:v>4.1184112050009709</c:v>
                </c:pt>
                <c:pt idx="59">
                  <c:v>4.2098258236141533</c:v>
                </c:pt>
                <c:pt idx="60">
                  <c:v>4.3012404422273356</c:v>
                </c:pt>
                <c:pt idx="61">
                  <c:v>4.3926550608405179</c:v>
                </c:pt>
                <c:pt idx="62">
                  <c:v>4.4840696794537003</c:v>
                </c:pt>
                <c:pt idx="63">
                  <c:v>4.5754842980668826</c:v>
                </c:pt>
                <c:pt idx="64">
                  <c:v>4.666898916680065</c:v>
                </c:pt>
                <c:pt idx="65">
                  <c:v>4.7583135352932473</c:v>
                </c:pt>
                <c:pt idx="66">
                  <c:v>4.8497281539064296</c:v>
                </c:pt>
                <c:pt idx="67">
                  <c:v>4.941142772519612</c:v>
                </c:pt>
                <c:pt idx="68">
                  <c:v>5.0325573911327943</c:v>
                </c:pt>
                <c:pt idx="69">
                  <c:v>5.1239720097459767</c:v>
                </c:pt>
                <c:pt idx="70">
                  <c:v>5.215386628359159</c:v>
                </c:pt>
                <c:pt idx="71">
                  <c:v>5.3068012469723413</c:v>
                </c:pt>
                <c:pt idx="72">
                  <c:v>5.3982158655855237</c:v>
                </c:pt>
                <c:pt idx="73">
                  <c:v>5.489630484198706</c:v>
                </c:pt>
                <c:pt idx="74">
                  <c:v>5.5810451028118884</c:v>
                </c:pt>
                <c:pt idx="75">
                  <c:v>5.6724597214250707</c:v>
                </c:pt>
                <c:pt idx="76">
                  <c:v>5.7638743400382531</c:v>
                </c:pt>
                <c:pt idx="77">
                  <c:v>5.8552889586514354</c:v>
                </c:pt>
                <c:pt idx="78">
                  <c:v>5.9467035772646177</c:v>
                </c:pt>
                <c:pt idx="79">
                  <c:v>6.0381181958778001</c:v>
                </c:pt>
                <c:pt idx="80">
                  <c:v>6.1141237950533895</c:v>
                </c:pt>
                <c:pt idx="81">
                  <c:v>6.190129394228979</c:v>
                </c:pt>
                <c:pt idx="82">
                  <c:v>6.2661349934045685</c:v>
                </c:pt>
                <c:pt idx="83">
                  <c:v>6.3421405925801579</c:v>
                </c:pt>
                <c:pt idx="84">
                  <c:v>6.4181461917557474</c:v>
                </c:pt>
                <c:pt idx="85">
                  <c:v>6.4941517909313369</c:v>
                </c:pt>
                <c:pt idx="86">
                  <c:v>6.5701573901069263</c:v>
                </c:pt>
                <c:pt idx="87">
                  <c:v>6.6461629892825158</c:v>
                </c:pt>
                <c:pt idx="88">
                  <c:v>6.7221685884581053</c:v>
                </c:pt>
                <c:pt idx="89">
                  <c:v>6.7981741876336947</c:v>
                </c:pt>
                <c:pt idx="90">
                  <c:v>6.8741797868092842</c:v>
                </c:pt>
                <c:pt idx="91">
                  <c:v>6.9501853859848737</c:v>
                </c:pt>
                <c:pt idx="92">
                  <c:v>7.0261909851604631</c:v>
                </c:pt>
                <c:pt idx="93">
                  <c:v>7.1021965843360526</c:v>
                </c:pt>
                <c:pt idx="94">
                  <c:v>7.1782021835116421</c:v>
                </c:pt>
                <c:pt idx="95">
                  <c:v>7.2542077826872315</c:v>
                </c:pt>
                <c:pt idx="96">
                  <c:v>7.330213381862821</c:v>
                </c:pt>
                <c:pt idx="97">
                  <c:v>7.4062189810384105</c:v>
                </c:pt>
                <c:pt idx="98">
                  <c:v>7.4822245802139999</c:v>
                </c:pt>
                <c:pt idx="99">
                  <c:v>7.5582301793895894</c:v>
                </c:pt>
                <c:pt idx="100">
                  <c:v>7.6342357785651789</c:v>
                </c:pt>
                <c:pt idx="101">
                  <c:v>7.7102413777407683</c:v>
                </c:pt>
                <c:pt idx="102">
                  <c:v>7.7862469769163578</c:v>
                </c:pt>
                <c:pt idx="103">
                  <c:v>7.8622525760919473</c:v>
                </c:pt>
                <c:pt idx="104">
                  <c:v>7.9382581752675367</c:v>
                </c:pt>
                <c:pt idx="105">
                  <c:v>8.0142637744431262</c:v>
                </c:pt>
                <c:pt idx="106">
                  <c:v>8.0902693736187157</c:v>
                </c:pt>
                <c:pt idx="107">
                  <c:v>8.1662749727943051</c:v>
                </c:pt>
                <c:pt idx="108">
                  <c:v>8.2422805719698946</c:v>
                </c:pt>
                <c:pt idx="109">
                  <c:v>8.3182861711454841</c:v>
                </c:pt>
                <c:pt idx="110">
                  <c:v>8.3942917703210735</c:v>
                </c:pt>
                <c:pt idx="111">
                  <c:v>8.470297369496663</c:v>
                </c:pt>
                <c:pt idx="112">
                  <c:v>8.546329646527532</c:v>
                </c:pt>
                <c:pt idx="113">
                  <c:v>8.622361923558401</c:v>
                </c:pt>
                <c:pt idx="114">
                  <c:v>8.69839420058927</c:v>
                </c:pt>
                <c:pt idx="115">
                  <c:v>8.7744264776201391</c:v>
                </c:pt>
                <c:pt idx="116">
                  <c:v>8.8504587546510081</c:v>
                </c:pt>
                <c:pt idx="117">
                  <c:v>8.9264910316818771</c:v>
                </c:pt>
                <c:pt idx="118">
                  <c:v>8.9873929148875842</c:v>
                </c:pt>
                <c:pt idx="119">
                  <c:v>9.0482947980932913</c:v>
                </c:pt>
                <c:pt idx="120">
                  <c:v>9.1091966812989984</c:v>
                </c:pt>
                <c:pt idx="121">
                  <c:v>9.1700985645047055</c:v>
                </c:pt>
                <c:pt idx="122">
                  <c:v>9.219663903743534</c:v>
                </c:pt>
                <c:pt idx="123">
                  <c:v>9.2692292429823624</c:v>
                </c:pt>
                <c:pt idx="124">
                  <c:v>9.3187945822211908</c:v>
                </c:pt>
                <c:pt idx="125">
                  <c:v>9.3683599214600193</c:v>
                </c:pt>
                <c:pt idx="126">
                  <c:v>9.4179252606988477</c:v>
                </c:pt>
                <c:pt idx="127">
                  <c:v>9.4674905999376762</c:v>
                </c:pt>
                <c:pt idx="128">
                  <c:v>9.5079355819157492</c:v>
                </c:pt>
                <c:pt idx="129">
                  <c:v>9.5483805638938222</c:v>
                </c:pt>
                <c:pt idx="130">
                  <c:v>9.5888255458718952</c:v>
                </c:pt>
                <c:pt idx="131">
                  <c:v>9.6292705278499682</c:v>
                </c:pt>
                <c:pt idx="132">
                  <c:v>9.6697155098280412</c:v>
                </c:pt>
                <c:pt idx="133">
                  <c:v>9.7101604918061142</c:v>
                </c:pt>
                <c:pt idx="134">
                  <c:v>9.7437496892368962</c:v>
                </c:pt>
                <c:pt idx="135">
                  <c:v>9.7773388866676783</c:v>
                </c:pt>
                <c:pt idx="136">
                  <c:v>9.8109280840984603</c:v>
                </c:pt>
                <c:pt idx="137">
                  <c:v>9.8445172815292423</c:v>
                </c:pt>
                <c:pt idx="138">
                  <c:v>9.8781064789600244</c:v>
                </c:pt>
                <c:pt idx="139">
                  <c:v>9.9116956763908064</c:v>
                </c:pt>
                <c:pt idx="140">
                  <c:v>9.9452848738215884</c:v>
                </c:pt>
                <c:pt idx="141">
                  <c:v>9.9725577563062462</c:v>
                </c:pt>
                <c:pt idx="142">
                  <c:v>9.9998306387909039</c:v>
                </c:pt>
                <c:pt idx="143">
                  <c:v>10.027103521275562</c:v>
                </c:pt>
                <c:pt idx="144">
                  <c:v>10.054376403760219</c:v>
                </c:pt>
                <c:pt idx="145">
                  <c:v>10.081649286244877</c:v>
                </c:pt>
                <c:pt idx="146">
                  <c:v>10.108922168729535</c:v>
                </c:pt>
                <c:pt idx="147">
                  <c:v>10.136195051214193</c:v>
                </c:pt>
                <c:pt idx="148">
                  <c:v>10.158374083238449</c:v>
                </c:pt>
                <c:pt idx="149">
                  <c:v>10.180553115262706</c:v>
                </c:pt>
                <c:pt idx="150">
                  <c:v>10.202732147286962</c:v>
                </c:pt>
                <c:pt idx="151">
                  <c:v>10.224911179311219</c:v>
                </c:pt>
                <c:pt idx="152">
                  <c:v>10.247090211335475</c:v>
                </c:pt>
                <c:pt idx="153">
                  <c:v>10.269269243359732</c:v>
                </c:pt>
                <c:pt idx="154">
                  <c:v>10.291448275383988</c:v>
                </c:pt>
                <c:pt idx="155">
                  <c:v>10.309480998537104</c:v>
                </c:pt>
                <c:pt idx="156">
                  <c:v>10.32751372169022</c:v>
                </c:pt>
                <c:pt idx="157">
                  <c:v>10.345546444843336</c:v>
                </c:pt>
                <c:pt idx="158">
                  <c:v>10.363579167996452</c:v>
                </c:pt>
                <c:pt idx="159">
                  <c:v>10.381611891149568</c:v>
                </c:pt>
                <c:pt idx="160">
                  <c:v>10.399644614302684</c:v>
                </c:pt>
                <c:pt idx="161">
                  <c:v>10.4176773374558</c:v>
                </c:pt>
                <c:pt idx="162">
                  <c:v>10.432336553968646</c:v>
                </c:pt>
                <c:pt idx="163">
                  <c:v>10.446995770481493</c:v>
                </c:pt>
                <c:pt idx="164">
                  <c:v>10.46165498699434</c:v>
                </c:pt>
                <c:pt idx="165">
                  <c:v>10.476314203507187</c:v>
                </c:pt>
                <c:pt idx="166">
                  <c:v>10.490973420020033</c:v>
                </c:pt>
                <c:pt idx="167">
                  <c:v>10.50563263653288</c:v>
                </c:pt>
                <c:pt idx="168">
                  <c:v>10.520291853045727</c:v>
                </c:pt>
                <c:pt idx="169">
                  <c:v>10.532208822033166</c:v>
                </c:pt>
                <c:pt idx="170">
                  <c:v>10.544125791020605</c:v>
                </c:pt>
                <c:pt idx="171">
                  <c:v>10.556042760008044</c:v>
                </c:pt>
                <c:pt idx="172">
                  <c:v>10.567959728995483</c:v>
                </c:pt>
                <c:pt idx="173">
                  <c:v>10.579876697982922</c:v>
                </c:pt>
                <c:pt idx="174">
                  <c:v>10.591793666970361</c:v>
                </c:pt>
                <c:pt idx="175">
                  <c:v>10.6037106359578</c:v>
                </c:pt>
                <c:pt idx="176">
                  <c:v>10.613403205133006</c:v>
                </c:pt>
                <c:pt idx="177">
                  <c:v>10.623095774308212</c:v>
                </c:pt>
                <c:pt idx="178">
                  <c:v>10.632788343483417</c:v>
                </c:pt>
                <c:pt idx="179">
                  <c:v>10.642480912658623</c:v>
                </c:pt>
                <c:pt idx="180">
                  <c:v>10.652173481833829</c:v>
                </c:pt>
                <c:pt idx="181">
                  <c:v>10.661866051009035</c:v>
                </c:pt>
                <c:pt idx="182">
                  <c:v>10.671558620184241</c:v>
                </c:pt>
                <c:pt idx="183">
                  <c:v>10.679450904018459</c:v>
                </c:pt>
                <c:pt idx="184">
                  <c:v>10.687343187852678</c:v>
                </c:pt>
                <c:pt idx="185">
                  <c:v>10.695235471686896</c:v>
                </c:pt>
                <c:pt idx="186">
                  <c:v>10.703127755521114</c:v>
                </c:pt>
                <c:pt idx="187">
                  <c:v>10.711020039355333</c:v>
                </c:pt>
                <c:pt idx="188">
                  <c:v>10.718912323189551</c:v>
                </c:pt>
                <c:pt idx="189">
                  <c:v>10.726804607023769</c:v>
                </c:pt>
                <c:pt idx="190">
                  <c:v>10.733243260867415</c:v>
                </c:pt>
                <c:pt idx="191">
                  <c:v>10.73968191471106</c:v>
                </c:pt>
                <c:pt idx="192">
                  <c:v>10.746120568554705</c:v>
                </c:pt>
                <c:pt idx="193">
                  <c:v>10.75255922239835</c:v>
                </c:pt>
                <c:pt idx="194">
                  <c:v>10.758997876241995</c:v>
                </c:pt>
                <c:pt idx="195">
                  <c:v>10.76543653008564</c:v>
                </c:pt>
                <c:pt idx="196">
                  <c:v>10.771875183929286</c:v>
                </c:pt>
                <c:pt idx="197">
                  <c:v>10.777143216720402</c:v>
                </c:pt>
                <c:pt idx="198">
                  <c:v>10.782411249511519</c:v>
                </c:pt>
                <c:pt idx="199">
                  <c:v>10.787679282302635</c:v>
                </c:pt>
                <c:pt idx="200">
                  <c:v>10.792947315093752</c:v>
                </c:pt>
                <c:pt idx="201">
                  <c:v>10.798215347884868</c:v>
                </c:pt>
                <c:pt idx="202">
                  <c:v>10.803483380675985</c:v>
                </c:pt>
                <c:pt idx="203">
                  <c:v>10.808751413467101</c:v>
                </c:pt>
                <c:pt idx="204">
                  <c:v>10.813080064586041</c:v>
                </c:pt>
                <c:pt idx="205">
                  <c:v>10.81740871570498</c:v>
                </c:pt>
                <c:pt idx="206">
                  <c:v>10.821737366823919</c:v>
                </c:pt>
                <c:pt idx="207">
                  <c:v>10.826066017942859</c:v>
                </c:pt>
                <c:pt idx="208">
                  <c:v>10.830394669061798</c:v>
                </c:pt>
                <c:pt idx="209">
                  <c:v>10.834723320180737</c:v>
                </c:pt>
                <c:pt idx="210">
                  <c:v>10.839051971299677</c:v>
                </c:pt>
                <c:pt idx="211">
                  <c:v>10.842631091619388</c:v>
                </c:pt>
                <c:pt idx="212">
                  <c:v>10.8462102119391</c:v>
                </c:pt>
                <c:pt idx="213">
                  <c:v>10.849789332258812</c:v>
                </c:pt>
                <c:pt idx="214">
                  <c:v>10.853368452578524</c:v>
                </c:pt>
                <c:pt idx="215">
                  <c:v>10.856947572898235</c:v>
                </c:pt>
                <c:pt idx="216">
                  <c:v>10.860526693217947</c:v>
                </c:pt>
                <c:pt idx="217">
                  <c:v>10.864105813537659</c:v>
                </c:pt>
                <c:pt idx="218">
                  <c:v>10.867684933857371</c:v>
                </c:pt>
                <c:pt idx="219">
                  <c:v>10.870587937218639</c:v>
                </c:pt>
                <c:pt idx="220">
                  <c:v>10.873490940579908</c:v>
                </c:pt>
                <c:pt idx="221">
                  <c:v>10.876393943941176</c:v>
                </c:pt>
                <c:pt idx="222">
                  <c:v>10.879296947302445</c:v>
                </c:pt>
                <c:pt idx="223">
                  <c:v>10.882199950663713</c:v>
                </c:pt>
                <c:pt idx="224">
                  <c:v>10.885102954024982</c:v>
                </c:pt>
                <c:pt idx="225">
                  <c:v>10.88800595738625</c:v>
                </c:pt>
                <c:pt idx="226">
                  <c:v>10.890908960747518</c:v>
                </c:pt>
                <c:pt idx="227">
                  <c:v>10.893324441841221</c:v>
                </c:pt>
                <c:pt idx="228">
                  <c:v>10.895739922934924</c:v>
                </c:pt>
                <c:pt idx="229">
                  <c:v>10.898155404028627</c:v>
                </c:pt>
                <c:pt idx="230">
                  <c:v>10.900570885122329</c:v>
                </c:pt>
                <c:pt idx="231">
                  <c:v>10.902986366216032</c:v>
                </c:pt>
                <c:pt idx="232">
                  <c:v>10.905401847309735</c:v>
                </c:pt>
                <c:pt idx="233">
                  <c:v>10.907817328403437</c:v>
                </c:pt>
                <c:pt idx="234">
                  <c:v>10.91023280949714</c:v>
                </c:pt>
                <c:pt idx="235">
                  <c:v>10.912648290590843</c:v>
                </c:pt>
                <c:pt idx="236">
                  <c:v>10.915063771684546</c:v>
                </c:pt>
                <c:pt idx="237">
                  <c:v>10.917479252778248</c:v>
                </c:pt>
                <c:pt idx="238">
                  <c:v>10.919894733871951</c:v>
                </c:pt>
                <c:pt idx="239">
                  <c:v>10.922310214965654</c:v>
                </c:pt>
                <c:pt idx="240">
                  <c:v>10.924725696059356</c:v>
                </c:pt>
                <c:pt idx="241">
                  <c:v>10.927141177153059</c:v>
                </c:pt>
                <c:pt idx="242">
                  <c:v>10.929556658246762</c:v>
                </c:pt>
                <c:pt idx="243">
                  <c:v>10.932167999852668</c:v>
                </c:pt>
                <c:pt idx="244">
                  <c:v>10.934087338885123</c:v>
                </c:pt>
                <c:pt idx="245">
                  <c:v>10.936006677917577</c:v>
                </c:pt>
                <c:pt idx="246">
                  <c:v>10.937926016950032</c:v>
                </c:pt>
                <c:pt idx="247">
                  <c:v>10.939845355982486</c:v>
                </c:pt>
                <c:pt idx="248">
                  <c:v>10.941279287918581</c:v>
                </c:pt>
                <c:pt idx="249">
                  <c:v>10.942713219854676</c:v>
                </c:pt>
                <c:pt idx="250">
                  <c:v>10.943871343266878</c:v>
                </c:pt>
                <c:pt idx="251">
                  <c:v>10.945029466679079</c:v>
                </c:pt>
                <c:pt idx="252">
                  <c:v>10.946187590091281</c:v>
                </c:pt>
                <c:pt idx="253">
                  <c:v>10.947345713503482</c:v>
                </c:pt>
                <c:pt idx="254">
                  <c:v>10.948289571359121</c:v>
                </c:pt>
                <c:pt idx="255">
                  <c:v>10.949233429214759</c:v>
                </c:pt>
                <c:pt idx="256">
                  <c:v>10.950177287070398</c:v>
                </c:pt>
                <c:pt idx="257">
                  <c:v>10.951121144926036</c:v>
                </c:pt>
                <c:pt idx="258">
                  <c:v>10.952065002781675</c:v>
                </c:pt>
                <c:pt idx="259">
                  <c:v>10.953008860637313</c:v>
                </c:pt>
                <c:pt idx="260">
                  <c:v>10.953966276646092</c:v>
                </c:pt>
                <c:pt idx="261">
                  <c:v>10.954923692654871</c:v>
                </c:pt>
                <c:pt idx="262">
                  <c:v>10.95588110866365</c:v>
                </c:pt>
                <c:pt idx="263">
                  <c:v>10.956838524672429</c:v>
                </c:pt>
                <c:pt idx="264">
                  <c:v>10.957795940681208</c:v>
                </c:pt>
                <c:pt idx="265">
                  <c:v>10.958753356689988</c:v>
                </c:pt>
                <c:pt idx="266">
                  <c:v>10.959710772698767</c:v>
                </c:pt>
                <c:pt idx="267">
                  <c:v>10.961057332017518</c:v>
                </c:pt>
                <c:pt idx="268">
                  <c:v>10.962403891336269</c:v>
                </c:pt>
                <c:pt idx="269">
                  <c:v>10.96375045065502</c:v>
                </c:pt>
                <c:pt idx="270">
                  <c:v>10.965097009973771</c:v>
                </c:pt>
                <c:pt idx="271">
                  <c:v>10.966181698393253</c:v>
                </c:pt>
                <c:pt idx="272">
                  <c:v>10.967266386812735</c:v>
                </c:pt>
                <c:pt idx="273">
                  <c:v>10.968351075232217</c:v>
                </c:pt>
                <c:pt idx="274">
                  <c:v>10.969435763651699</c:v>
                </c:pt>
                <c:pt idx="275">
                  <c:v>10.970520452071181</c:v>
                </c:pt>
                <c:pt idx="276">
                  <c:v>10.971605140490663</c:v>
                </c:pt>
                <c:pt idx="277">
                  <c:v>10.972689828910145</c:v>
                </c:pt>
                <c:pt idx="278">
                  <c:v>10.973774517329627</c:v>
                </c:pt>
                <c:pt idx="279">
                  <c:v>10.974859205749109</c:v>
                </c:pt>
                <c:pt idx="280">
                  <c:v>10.975943894168591</c:v>
                </c:pt>
                <c:pt idx="281">
                  <c:v>10.977028582588073</c:v>
                </c:pt>
              </c:numCache>
            </c:numRef>
          </c:xVal>
          <c:yVal>
            <c:numRef>
              <c:f>'Figure 3'!$B$24:$B$320</c:f>
              <c:numCache>
                <c:formatCode>General</c:formatCode>
                <c:ptCount val="297"/>
                <c:pt idx="0">
                  <c:v>1E-3</c:v>
                </c:pt>
                <c:pt idx="1">
                  <c:v>1.0001497863939303E-3</c:v>
                </c:pt>
                <c:pt idx="2">
                  <c:v>1.0002995946762482E-3</c:v>
                </c:pt>
                <c:pt idx="3">
                  <c:v>1.0004494253115952E-3</c:v>
                </c:pt>
                <c:pt idx="4">
                  <c:v>1.0011018276651273E-3</c:v>
                </c:pt>
                <c:pt idx="5">
                  <c:v>1.0017546460846514E-3</c:v>
                </c:pt>
                <c:pt idx="6">
                  <c:v>1.0024078874137983E-3</c:v>
                </c:pt>
                <c:pt idx="7">
                  <c:v>1.0030615542514791E-3</c:v>
                </c:pt>
                <c:pt idx="8">
                  <c:v>1.0049338674532093E-3</c:v>
                </c:pt>
                <c:pt idx="9">
                  <c:v>1.006809675490784E-3</c:v>
                </c:pt>
                <c:pt idx="10">
                  <c:v>1.0086889848076428E-3</c:v>
                </c:pt>
                <c:pt idx="11">
                  <c:v>1.010571801919052E-3</c:v>
                </c:pt>
                <c:pt idx="12">
                  <c:v>1.0200978514497559E-3</c:v>
                </c:pt>
                <c:pt idx="13">
                  <c:v>1.0297136921803333E-3</c:v>
                </c:pt>
                <c:pt idx="14">
                  <c:v>1.0394201715034266E-3</c:v>
                </c:pt>
                <c:pt idx="15">
                  <c:v>1.0492181444973095E-3</c:v>
                </c:pt>
                <c:pt idx="16">
                  <c:v>1.0591084737292201E-3</c:v>
                </c:pt>
                <c:pt idx="17">
                  <c:v>1.0863728756799866E-3</c:v>
                </c:pt>
                <c:pt idx="18">
                  <c:v>1.1143391123336292E-3</c:v>
                </c:pt>
                <c:pt idx="19">
                  <c:v>1.1430252472867395E-3</c:v>
                </c:pt>
                <c:pt idx="20">
                  <c:v>1.1724498112464189E-3</c:v>
                </c:pt>
                <c:pt idx="21">
                  <c:v>1.2026318121497255E-3</c:v>
                </c:pt>
                <c:pt idx="22">
                  <c:v>1.2335907462745939E-3</c:v>
                </c:pt>
                <c:pt idx="23">
                  <c:v>1.2832896858356103E-3</c:v>
                </c:pt>
                <c:pt idx="24">
                  <c:v>1.334990805112982E-3</c:v>
                </c:pt>
                <c:pt idx="25">
                  <c:v>1.3887747566416089E-3</c:v>
                </c:pt>
                <c:pt idx="26">
                  <c:v>1.4447254421995149E-3</c:v>
                </c:pt>
                <c:pt idx="27">
                  <c:v>1.5029301422488288E-3</c:v>
                </c:pt>
                <c:pt idx="28">
                  <c:v>1.563479651600305E-3</c:v>
                </c:pt>
                <c:pt idx="29">
                  <c:v>1.6264684214550517E-3</c:v>
                </c:pt>
                <c:pt idx="30">
                  <c:v>1.7141517455642249E-3</c:v>
                </c:pt>
                <c:pt idx="31">
                  <c:v>1.8065618081186089E-3</c:v>
                </c:pt>
                <c:pt idx="32">
                  <c:v>1.9039533790986927E-3</c:v>
                </c:pt>
                <c:pt idx="33">
                  <c:v>2.0065949567669122E-3</c:v>
                </c:pt>
                <c:pt idx="34">
                  <c:v>2.1147695080436144E-3</c:v>
                </c:pt>
                <c:pt idx="35">
                  <c:v>2.2287752473020232E-3</c:v>
                </c:pt>
                <c:pt idx="36">
                  <c:v>2.3489264566849684E-3</c:v>
                </c:pt>
                <c:pt idx="37">
                  <c:v>2.4755543511022632E-3</c:v>
                </c:pt>
                <c:pt idx="38">
                  <c:v>2.6090079901743271E-3</c:v>
                </c:pt>
                <c:pt idx="39">
                  <c:v>2.7496552391134015E-3</c:v>
                </c:pt>
                <c:pt idx="40">
                  <c:v>2.8978837810013838E-3</c:v>
                </c:pt>
                <c:pt idx="41">
                  <c:v>3.0541021834050472E-3</c:v>
                </c:pt>
                <c:pt idx="42">
                  <c:v>3.2187410223965839E-3</c:v>
                </c:pt>
                <c:pt idx="43">
                  <c:v>3.3922540670249289E-3</c:v>
                </c:pt>
                <c:pt idx="44">
                  <c:v>3.5751195273810341E-3</c:v>
                </c:pt>
                <c:pt idx="45">
                  <c:v>3.7678413696313881E-3</c:v>
                </c:pt>
                <c:pt idx="46">
                  <c:v>3.9709507016313615E-3</c:v>
                </c:pt>
                <c:pt idx="47">
                  <c:v>4.185007232913463E-3</c:v>
                </c:pt>
                <c:pt idx="48">
                  <c:v>4.4106008130134567E-3</c:v>
                </c:pt>
                <c:pt idx="49">
                  <c:v>4.6483530522957407E-3</c:v>
                </c:pt>
                <c:pt idx="50">
                  <c:v>4.8989190296695739E-3</c:v>
                </c:pt>
                <c:pt idx="51">
                  <c:v>5.162989091827822E-3</c:v>
                </c:pt>
                <c:pt idx="52">
                  <c:v>5.4412907488805545E-3</c:v>
                </c:pt>
                <c:pt idx="53">
                  <c:v>5.7345906715044592E-3</c:v>
                </c:pt>
                <c:pt idx="54">
                  <c:v>5.9901577494171502E-3</c:v>
                </c:pt>
                <c:pt idx="55">
                  <c:v>6.2571118230323464E-3</c:v>
                </c:pt>
                <c:pt idx="56">
                  <c:v>6.5359600103262888E-3</c:v>
                </c:pt>
                <c:pt idx="57">
                  <c:v>6.8272319875019643E-3</c:v>
                </c:pt>
                <c:pt idx="58">
                  <c:v>7.1314809904420989E-3</c:v>
                </c:pt>
                <c:pt idx="59">
                  <c:v>7.4492848627574866E-3</c:v>
                </c:pt>
                <c:pt idx="60">
                  <c:v>7.7812471486044333E-3</c:v>
                </c:pt>
                <c:pt idx="61">
                  <c:v>8.1279982318356436E-3</c:v>
                </c:pt>
                <c:pt idx="62">
                  <c:v>8.4901965252716788E-3</c:v>
                </c:pt>
                <c:pt idx="63">
                  <c:v>8.8685297132208366E-3</c:v>
                </c:pt>
                <c:pt idx="64">
                  <c:v>9.263716049082122E-3</c:v>
                </c:pt>
                <c:pt idx="65">
                  <c:v>9.6765057097408808E-3</c:v>
                </c:pt>
                <c:pt idx="66">
                  <c:v>1.0107682209154922E-2</c:v>
                </c:pt>
                <c:pt idx="67">
                  <c:v>1.0558063873985895E-2</c:v>
                </c:pt>
                <c:pt idx="68">
                  <c:v>1.1028505384090519E-2</c:v>
                </c:pt>
                <c:pt idx="69">
                  <c:v>1.1519899380554284E-2</c:v>
                </c:pt>
                <c:pt idx="70">
                  <c:v>1.2033178144029443E-2</c:v>
                </c:pt>
                <c:pt idx="71">
                  <c:v>1.2569315346356177E-2</c:v>
                </c:pt>
                <c:pt idx="72">
                  <c:v>1.3129327878619422E-2</c:v>
                </c:pt>
                <c:pt idx="73">
                  <c:v>1.3714277758883437E-2</c:v>
                </c:pt>
                <c:pt idx="74">
                  <c:v>1.4325274122924558E-2</c:v>
                </c:pt>
                <c:pt idx="75">
                  <c:v>1.496347530139986E-2</c:v>
                </c:pt>
                <c:pt idx="76">
                  <c:v>1.5630090987030658E-2</c:v>
                </c:pt>
                <c:pt idx="77">
                  <c:v>1.6326384495512811E-2</c:v>
                </c:pt>
                <c:pt idx="78">
                  <c:v>1.7053675123984115E-2</c:v>
                </c:pt>
                <c:pt idx="79">
                  <c:v>1.781334061099734E-2</c:v>
                </c:pt>
                <c:pt idx="80">
                  <c:v>1.8470636448220643E-2</c:v>
                </c:pt>
                <c:pt idx="81">
                  <c:v>1.9152166467908065E-2</c:v>
                </c:pt>
                <c:pt idx="82">
                  <c:v>1.9858822542288962E-2</c:v>
                </c:pt>
                <c:pt idx="83">
                  <c:v>2.0591529218291091E-2</c:v>
                </c:pt>
                <c:pt idx="84">
                  <c:v>2.1351244900935373E-2</c:v>
                </c:pt>
                <c:pt idx="85">
                  <c:v>2.213896308045734E-2</c:v>
                </c:pt>
                <c:pt idx="86">
                  <c:v>2.2955713600677812E-2</c:v>
                </c:pt>
                <c:pt idx="87">
                  <c:v>2.3802563969482434E-2</c:v>
                </c:pt>
                <c:pt idx="88">
                  <c:v>2.4680620714408196E-2</c:v>
                </c:pt>
                <c:pt idx="89">
                  <c:v>2.559103078557801E-2</c:v>
                </c:pt>
                <c:pt idx="90">
                  <c:v>2.6534983006836196E-2</c:v>
                </c:pt>
                <c:pt idx="91">
                  <c:v>2.7513709575717658E-2</c:v>
                </c:pt>
                <c:pt idx="92">
                  <c:v>2.8528487613463702E-2</c:v>
                </c:pt>
                <c:pt idx="93">
                  <c:v>2.9580640766624564E-2</c:v>
                </c:pt>
                <c:pt idx="94">
                  <c:v>3.0671540861598887E-2</c:v>
                </c:pt>
                <c:pt idx="95">
                  <c:v>3.1802609613164751E-2</c:v>
                </c:pt>
                <c:pt idx="96">
                  <c:v>3.2975320387939294E-2</c:v>
                </c:pt>
                <c:pt idx="97">
                  <c:v>3.4191200023729135E-2</c:v>
                </c:pt>
                <c:pt idx="98">
                  <c:v>3.5451830705652138E-2</c:v>
                </c:pt>
                <c:pt idx="99">
                  <c:v>3.6758851899715304E-2</c:v>
                </c:pt>
                <c:pt idx="100">
                  <c:v>3.8113962344289813E-2</c:v>
                </c:pt>
                <c:pt idx="101">
                  <c:v>3.9518922099667647E-2</c:v>
                </c:pt>
                <c:pt idx="102">
                  <c:v>4.0975554655585181E-2</c:v>
                </c:pt>
                <c:pt idx="103">
                  <c:v>4.248574909621472E-2</c:v>
                </c:pt>
                <c:pt idx="104">
                  <c:v>4.405146232163383E-2</c:v>
                </c:pt>
                <c:pt idx="105">
                  <c:v>4.5674721324177436E-2</c:v>
                </c:pt>
                <c:pt idx="106">
                  <c:v>4.7357625517338395E-2</c:v>
                </c:pt>
                <c:pt idx="107">
                  <c:v>4.9102349113972037E-2</c:v>
                </c:pt>
                <c:pt idx="108">
                  <c:v>5.0911143549430021E-2</c:v>
                </c:pt>
                <c:pt idx="109">
                  <c:v>5.2786339943843526E-2</c:v>
                </c:pt>
                <c:pt idx="110">
                  <c:v>5.4730351596026149E-2</c:v>
                </c:pt>
                <c:pt idx="111">
                  <c:v>5.6745676499281819E-2</c:v>
                </c:pt>
                <c:pt idx="112">
                  <c:v>5.8835646465180601E-2</c:v>
                </c:pt>
                <c:pt idx="113">
                  <c:v>6.1002244571561955E-2</c:v>
                </c:pt>
                <c:pt idx="114">
                  <c:v>6.3248240964903377E-2</c:v>
                </c:pt>
                <c:pt idx="115">
                  <c:v>6.5576500596278814E-2</c:v>
                </c:pt>
                <c:pt idx="116">
                  <c:v>6.7989985579031811E-2</c:v>
                </c:pt>
                <c:pt idx="117">
                  <c:v>7.0491757418032833E-2</c:v>
                </c:pt>
                <c:pt idx="118">
                  <c:v>7.2561485689310923E-2</c:v>
                </c:pt>
                <c:pt idx="119">
                  <c:v>7.4691559543709013E-2</c:v>
                </c:pt>
                <c:pt idx="120">
                  <c:v>7.6883695185213013E-2</c:v>
                </c:pt>
                <c:pt idx="121">
                  <c:v>7.9139652195851395E-2</c:v>
                </c:pt>
                <c:pt idx="122">
                  <c:v>8.1024029515058785E-2</c:v>
                </c:pt>
                <c:pt idx="123">
                  <c:v>8.2952866563704125E-2</c:v>
                </c:pt>
                <c:pt idx="124">
                  <c:v>8.4927175826991025E-2</c:v>
                </c:pt>
                <c:pt idx="125">
                  <c:v>8.6947988758192735E-2</c:v>
                </c:pt>
                <c:pt idx="126">
                  <c:v>8.9016355543390921E-2</c:v>
                </c:pt>
                <c:pt idx="127">
                  <c:v>9.113334474218171E-2</c:v>
                </c:pt>
                <c:pt idx="128">
                  <c:v>9.2897573939636297E-2</c:v>
                </c:pt>
                <c:pt idx="129">
                  <c:v>9.4695500010498923E-2</c:v>
                </c:pt>
                <c:pt idx="130">
                  <c:v>9.6527729062772197E-2</c:v>
                </c:pt>
                <c:pt idx="131">
                  <c:v>9.839487412440602E-2</c:v>
                </c:pt>
                <c:pt idx="132">
                  <c:v>0.10029755465818926</c:v>
                </c:pt>
                <c:pt idx="133">
                  <c:v>0.1022363959641967</c:v>
                </c:pt>
                <c:pt idx="134">
                  <c:v>0.10387452430267165</c:v>
                </c:pt>
                <c:pt idx="135">
                  <c:v>0.10553839138130762</c:v>
                </c:pt>
                <c:pt idx="136">
                  <c:v>0.10722836215730164</c:v>
                </c:pt>
                <c:pt idx="137">
                  <c:v>0.10894480269768138</c:v>
                </c:pt>
                <c:pt idx="138">
                  <c:v>0.11068807959949897</c:v>
                </c:pt>
                <c:pt idx="139">
                  <c:v>0.11245855930267243</c:v>
                </c:pt>
                <c:pt idx="140">
                  <c:v>0.11425660727931014</c:v>
                </c:pt>
                <c:pt idx="141">
                  <c:v>0.11573706979452059</c:v>
                </c:pt>
                <c:pt idx="142">
                  <c:v>0.11723614013980906</c:v>
                </c:pt>
                <c:pt idx="143">
                  <c:v>0.11875400968698208</c:v>
                </c:pt>
                <c:pt idx="144">
                  <c:v>0.12029086746518516</c:v>
                </c:pt>
                <c:pt idx="145">
                  <c:v>0.12184689952683901</c:v>
                </c:pt>
                <c:pt idx="146">
                  <c:v>0.12342228820587434</c:v>
                </c:pt>
                <c:pt idx="147">
                  <c:v>0.12501721125298049</c:v>
                </c:pt>
                <c:pt idx="148">
                  <c:v>0.12632876659519465</c:v>
                </c:pt>
                <c:pt idx="149">
                  <c:v>0.12765344407198817</c:v>
                </c:pt>
                <c:pt idx="150">
                  <c:v>0.12899132956105674</c:v>
                </c:pt>
                <c:pt idx="151">
                  <c:v>0.13034250491725874</c:v>
                </c:pt>
                <c:pt idx="152">
                  <c:v>0.13170704731584398</c:v>
                </c:pt>
                <c:pt idx="153">
                  <c:v>0.13308502848760287</c:v>
                </c:pt>
                <c:pt idx="154">
                  <c:v>0.13447651383049988</c:v>
                </c:pt>
                <c:pt idx="155">
                  <c:v>0.13561785850837241</c:v>
                </c:pt>
                <c:pt idx="156">
                  <c:v>0.13676819577825614</c:v>
                </c:pt>
                <c:pt idx="157">
                  <c:v>0.13792754845342328</c:v>
                </c:pt>
                <c:pt idx="158">
                  <c:v>0.13909593452313565</c:v>
                </c:pt>
                <c:pt idx="159">
                  <c:v>0.14027336648660746</c:v>
                </c:pt>
                <c:pt idx="160">
                  <c:v>0.14145985057847918</c:v>
                </c:pt>
                <c:pt idx="161">
                  <c:v>0.14265538587031518</c:v>
                </c:pt>
                <c:pt idx="162">
                  <c:v>0.14363392775012826</c:v>
                </c:pt>
                <c:pt idx="163">
                  <c:v>0.14461843576144076</c:v>
                </c:pt>
                <c:pt idx="164">
                  <c:v>0.14560889583326492</c:v>
                </c:pt>
                <c:pt idx="165">
                  <c:v>0.14660528869271328</c:v>
                </c:pt>
                <c:pt idx="166">
                  <c:v>0.14760758919454683</c:v>
                </c:pt>
                <c:pt idx="167">
                  <c:v>0.14861576554192199</c:v>
                </c:pt>
                <c:pt idx="168">
                  <c:v>0.14962977838284514</c:v>
                </c:pt>
                <c:pt idx="169">
                  <c:v>0.15045837152218011</c:v>
                </c:pt>
                <c:pt idx="170">
                  <c:v>0.15129075977299214</c:v>
                </c:pt>
                <c:pt idx="171">
                  <c:v>0.15212690783321597</c:v>
                </c:pt>
                <c:pt idx="172">
                  <c:v>0.15296677501808059</c:v>
                </c:pt>
                <c:pt idx="173">
                  <c:v>0.15381031458726316</c:v>
                </c:pt>
                <c:pt idx="174">
                  <c:v>0.15465747296318641</c:v>
                </c:pt>
                <c:pt idx="175">
                  <c:v>0.15550818882506204</c:v>
                </c:pt>
                <c:pt idx="176">
                  <c:v>0.15620268684905153</c:v>
                </c:pt>
                <c:pt idx="177">
                  <c:v>0.15689944948857557</c:v>
                </c:pt>
                <c:pt idx="178">
                  <c:v>0.1575984292834802</c:v>
                </c:pt>
                <c:pt idx="179">
                  <c:v>0.1582995732945707</c:v>
                </c:pt>
                <c:pt idx="180">
                  <c:v>0.15900282242914504</c:v>
                </c:pt>
                <c:pt idx="181">
                  <c:v>0.15970811065793877</c:v>
                </c:pt>
                <c:pt idx="182">
                  <c:v>0.16041536410828847</c:v>
                </c:pt>
                <c:pt idx="183">
                  <c:v>0.16099264777856631</c:v>
                </c:pt>
                <c:pt idx="184">
                  <c:v>0.16157113016411723</c:v>
                </c:pt>
                <c:pt idx="185">
                  <c:v>0.16215075671275761</c:v>
                </c:pt>
                <c:pt idx="186">
                  <c:v>0.16273146732596031</c:v>
                </c:pt>
                <c:pt idx="187">
                  <c:v>0.1633131956830163</c:v>
                </c:pt>
                <c:pt idx="188">
                  <c:v>0.16389586845725668</c:v>
                </c:pt>
                <c:pt idx="189">
                  <c:v>0.16447940440947781</c:v>
                </c:pt>
                <c:pt idx="190">
                  <c:v>0.16495603951302457</c:v>
                </c:pt>
                <c:pt idx="191">
                  <c:v>0.16543313532688564</c:v>
                </c:pt>
                <c:pt idx="192">
                  <c:v>0.16591063287680965</c:v>
                </c:pt>
                <c:pt idx="193">
                  <c:v>0.16638846757527473</c:v>
                </c:pt>
                <c:pt idx="194">
                  <c:v>0.16686656854425311</c:v>
                </c:pt>
                <c:pt idx="195">
                  <c:v>0.16734485783114397</c:v>
                </c:pt>
                <c:pt idx="196">
                  <c:v>0.1678232495035161</c:v>
                </c:pt>
                <c:pt idx="197">
                  <c:v>0.1682146742154749</c:v>
                </c:pt>
                <c:pt idx="198">
                  <c:v>0.16860604703691989</c:v>
                </c:pt>
                <c:pt idx="199">
                  <c:v>0.16899730579884401</c:v>
                </c:pt>
                <c:pt idx="200">
                  <c:v>0.16938838263463135</c:v>
                </c:pt>
                <c:pt idx="201">
                  <c:v>0.16977920330119078</c:v>
                </c:pt>
                <c:pt idx="202">
                  <c:v>0.17016968639495181</c:v>
                </c:pt>
                <c:pt idx="203">
                  <c:v>0.17055974244907754</c:v>
                </c:pt>
                <c:pt idx="204">
                  <c:v>0.17087985606713799</c:v>
                </c:pt>
                <c:pt idx="205">
                  <c:v>0.17119955516693008</c:v>
                </c:pt>
                <c:pt idx="206">
                  <c:v>0.17151877468226603</c:v>
                </c:pt>
                <c:pt idx="207">
                  <c:v>0.17183744373132909</c:v>
                </c:pt>
                <c:pt idx="208">
                  <c:v>0.17215548493568109</c:v>
                </c:pt>
                <c:pt idx="209">
                  <c:v>0.17247281363663364</c:v>
                </c:pt>
                <c:pt idx="210">
                  <c:v>0.17278933699634963</c:v>
                </c:pt>
                <c:pt idx="211">
                  <c:v>0.17305037197202294</c:v>
                </c:pt>
                <c:pt idx="212">
                  <c:v>0.17331072377863577</c:v>
                </c:pt>
                <c:pt idx="213">
                  <c:v>0.17357032401594585</c:v>
                </c:pt>
                <c:pt idx="214">
                  <c:v>0.1738290982935326</c:v>
                </c:pt>
                <c:pt idx="215">
                  <c:v>0.1740869655467398</c:v>
                </c:pt>
                <c:pt idx="216">
                  <c:v>0.17434383725369362</c:v>
                </c:pt>
                <c:pt idx="217">
                  <c:v>0.17459961654222642</c:v>
                </c:pt>
                <c:pt idx="218">
                  <c:v>0.17485419716870018</c:v>
                </c:pt>
                <c:pt idx="219">
                  <c:v>0.17505972562191238</c:v>
                </c:pt>
                <c:pt idx="220">
                  <c:v>0.17526432090673205</c:v>
                </c:pt>
                <c:pt idx="221">
                  <c:v>0.17546790933491338</c:v>
                </c:pt>
                <c:pt idx="222">
                  <c:v>0.17567041092902325</c:v>
                </c:pt>
                <c:pt idx="223">
                  <c:v>0.17587173873686174</c:v>
                </c:pt>
                <c:pt idx="224">
                  <c:v>0.17607179805372844</c:v>
                </c:pt>
                <c:pt idx="225">
                  <c:v>0.1762704855454944</c:v>
                </c:pt>
                <c:pt idx="226">
                  <c:v>0.17646768825895526</c:v>
                </c:pt>
                <c:pt idx="227">
                  <c:v>0.17663055296943592</c:v>
                </c:pt>
                <c:pt idx="228">
                  <c:v>0.17679222677649831</c:v>
                </c:pt>
                <c:pt idx="229">
                  <c:v>0.17695262582135152</c:v>
                </c:pt>
                <c:pt idx="230">
                  <c:v>0.17711165929422235</c:v>
                </c:pt>
                <c:pt idx="231">
                  <c:v>0.17726922873414969</c:v>
                </c:pt>
                <c:pt idx="232">
                  <c:v>0.17742522724971135</c:v>
                </c:pt>
                <c:pt idx="233">
                  <c:v>0.17757953865840695</c:v>
                </c:pt>
                <c:pt idx="234">
                  <c:v>0.17773203653882116</c:v>
                </c:pt>
                <c:pt idx="235">
                  <c:v>0.1778825831876357</c:v>
                </c:pt>
                <c:pt idx="236">
                  <c:v>0.17803102847570235</c:v>
                </c:pt>
                <c:pt idx="237">
                  <c:v>0.17817720860157366</c:v>
                </c:pt>
                <c:pt idx="238">
                  <c:v>0.17832094474528412</c:v>
                </c:pt>
                <c:pt idx="239">
                  <c:v>0.17846204163064891</c:v>
                </c:pt>
                <c:pt idx="240">
                  <c:v>0.17860028601294795</c:v>
                </c:pt>
                <c:pt idx="241">
                  <c:v>0.17873544512207976</c:v>
                </c:pt>
                <c:pt idx="242">
                  <c:v>0.17886726511002463</c:v>
                </c:pt>
                <c:pt idx="243">
                  <c:v>0.17900569767876975</c:v>
                </c:pt>
                <c:pt idx="244">
                  <c:v>0.17910453122677947</c:v>
                </c:pt>
                <c:pt idx="245">
                  <c:v>0.17920071404450585</c:v>
                </c:pt>
                <c:pt idx="246">
                  <c:v>0.17929407330142988</c:v>
                </c:pt>
                <c:pt idx="247">
                  <c:v>0.17938442617183228</c:v>
                </c:pt>
                <c:pt idx="248">
                  <c:v>0.17944985175589809</c:v>
                </c:pt>
                <c:pt idx="249">
                  <c:v>0.17951340846164601</c:v>
                </c:pt>
                <c:pt idx="250">
                  <c:v>0.17956331736351305</c:v>
                </c:pt>
                <c:pt idx="251">
                  <c:v>0.17961190455155407</c:v>
                </c:pt>
                <c:pt idx="252">
                  <c:v>0.17965912274935977</c:v>
                </c:pt>
                <c:pt idx="253">
                  <c:v>0.17970492404940505</c:v>
                </c:pt>
                <c:pt idx="254">
                  <c:v>0.1797411701316676</c:v>
                </c:pt>
                <c:pt idx="255">
                  <c:v>0.17977641675816775</c:v>
                </c:pt>
                <c:pt idx="256">
                  <c:v>0.17981063772007685</c:v>
                </c:pt>
                <c:pt idx="257">
                  <c:v>0.17984380695321331</c:v>
                </c:pt>
                <c:pt idx="258">
                  <c:v>0.17987589867072543</c:v>
                </c:pt>
                <c:pt idx="259">
                  <c:v>0.1799068875120379</c:v>
                </c:pt>
                <c:pt idx="260">
                  <c:v>0.17993716930174819</c:v>
                </c:pt>
                <c:pt idx="261">
                  <c:v>0.17996626572827046</c:v>
                </c:pt>
                <c:pt idx="262">
                  <c:v>0.1799941527126587</c:v>
                </c:pt>
                <c:pt idx="263">
                  <c:v>0.18002080737021559</c:v>
                </c:pt>
                <c:pt idx="264">
                  <c:v>0.18004620822429304</c:v>
                </c:pt>
                <c:pt idx="265">
                  <c:v>0.18007033543376799</c:v>
                </c:pt>
                <c:pt idx="266">
                  <c:v>0.1800931710262782</c:v>
                </c:pt>
                <c:pt idx="267">
                  <c:v>0.18012307235854505</c:v>
                </c:pt>
                <c:pt idx="268">
                  <c:v>0.18015035151035363</c:v>
                </c:pt>
                <c:pt idx="269">
                  <c:v>0.18017498260254189</c:v>
                </c:pt>
                <c:pt idx="270">
                  <c:v>0.18019695119988452</c:v>
                </c:pt>
                <c:pt idx="271">
                  <c:v>0.18021270950674034</c:v>
                </c:pt>
                <c:pt idx="272">
                  <c:v>0.180226743740069</c:v>
                </c:pt>
                <c:pt idx="273">
                  <c:v>0.18023906471118348</c:v>
                </c:pt>
                <c:pt idx="274">
                  <c:v>0.18024968903200703</c:v>
                </c:pt>
                <c:pt idx="275">
                  <c:v>0.18025863911412263</c:v>
                </c:pt>
                <c:pt idx="276">
                  <c:v>0.18026594306921337</c:v>
                </c:pt>
                <c:pt idx="277">
                  <c:v>0.18027163451571548</c:v>
                </c:pt>
                <c:pt idx="278">
                  <c:v>0.18027575229507853</c:v>
                </c:pt>
                <c:pt idx="279">
                  <c:v>0.180278340100885</c:v>
                </c:pt>
                <c:pt idx="280">
                  <c:v>0.18027944602846976</c:v>
                </c:pt>
                <c:pt idx="281">
                  <c:v>0.18027912205795288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25-4563-91EC-8EF600881A12}"/>
            </c:ext>
          </c:extLst>
        </c:ser>
        <c:ser>
          <c:idx val="2"/>
          <c:order val="3"/>
          <c:tx>
            <c:strRef>
              <c:f>'Figure 3'!$G$21</c:f>
              <c:strCache>
                <c:ptCount val="1"/>
                <c:pt idx="0">
                  <c:v>biomass inhibited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'Figure 3'!$F$24:$F$249</c:f>
              <c:numCache>
                <c:formatCode>General</c:formatCode>
                <c:ptCount val="226"/>
                <c:pt idx="0">
                  <c:v>0</c:v>
                </c:pt>
                <c:pt idx="1">
                  <c:v>3.1437518189920857E-4</c:v>
                </c:pt>
                <c:pt idx="2">
                  <c:v>6.2875036379841714E-4</c:v>
                </c:pt>
                <c:pt idx="3">
                  <c:v>9.4312554569762571E-4</c:v>
                </c:pt>
                <c:pt idx="4">
                  <c:v>2.3115212195532068E-3</c:v>
                </c:pt>
                <c:pt idx="5">
                  <c:v>3.679916893408788E-3</c:v>
                </c:pt>
                <c:pt idx="6">
                  <c:v>5.0483125672643693E-3</c:v>
                </c:pt>
                <c:pt idx="7">
                  <c:v>6.4167082411199505E-3</c:v>
                </c:pt>
                <c:pt idx="8">
                  <c:v>1.0332359283636895E-2</c:v>
                </c:pt>
                <c:pt idx="9">
                  <c:v>1.4248010326153839E-2</c:v>
                </c:pt>
                <c:pt idx="10">
                  <c:v>1.8163661368670782E-2</c:v>
                </c:pt>
                <c:pt idx="11">
                  <c:v>2.2079312411187726E-2</c:v>
                </c:pt>
                <c:pt idx="12">
                  <c:v>4.1895969148116413E-2</c:v>
                </c:pt>
                <c:pt idx="13">
                  <c:v>6.17126258850451E-2</c:v>
                </c:pt>
                <c:pt idx="14">
                  <c:v>8.1529282621973787E-2</c:v>
                </c:pt>
                <c:pt idx="15">
                  <c:v>0.10134593935890247</c:v>
                </c:pt>
                <c:pt idx="16">
                  <c:v>0.12116259609583116</c:v>
                </c:pt>
                <c:pt idx="17">
                  <c:v>0.17449220354376152</c:v>
                </c:pt>
                <c:pt idx="18">
                  <c:v>0.22782181099169188</c:v>
                </c:pt>
                <c:pt idx="19">
                  <c:v>0.28115141843962221</c:v>
                </c:pt>
                <c:pt idx="20">
                  <c:v>0.33448102588755257</c:v>
                </c:pt>
                <c:pt idx="21">
                  <c:v>0.38781063333548293</c:v>
                </c:pt>
                <c:pt idx="22">
                  <c:v>0.4411402407834133</c:v>
                </c:pt>
                <c:pt idx="23">
                  <c:v>0.52448047621738592</c:v>
                </c:pt>
                <c:pt idx="24">
                  <c:v>0.60782071165135854</c:v>
                </c:pt>
                <c:pt idx="25">
                  <c:v>0.69116094708533116</c:v>
                </c:pt>
                <c:pt idx="26">
                  <c:v>0.77450118251930378</c:v>
                </c:pt>
                <c:pt idx="27">
                  <c:v>0.8578414179532764</c:v>
                </c:pt>
                <c:pt idx="28">
                  <c:v>0.94118165338724902</c:v>
                </c:pt>
                <c:pt idx="29">
                  <c:v>1.0245218888212215</c:v>
                </c:pt>
                <c:pt idx="30">
                  <c:v>1.1394164823405928</c:v>
                </c:pt>
                <c:pt idx="31">
                  <c:v>1.254311075859964</c:v>
                </c:pt>
                <c:pt idx="32">
                  <c:v>1.3692056693793353</c:v>
                </c:pt>
                <c:pt idx="33">
                  <c:v>1.4841002628987066</c:v>
                </c:pt>
                <c:pt idx="34">
                  <c:v>1.5989948564180778</c:v>
                </c:pt>
                <c:pt idx="35">
                  <c:v>1.7138894499374491</c:v>
                </c:pt>
                <c:pt idx="36">
                  <c:v>1.8287840434568203</c:v>
                </c:pt>
                <c:pt idx="37">
                  <c:v>1.9441112116427992</c:v>
                </c:pt>
                <c:pt idx="38">
                  <c:v>2.0594383798287783</c:v>
                </c:pt>
                <c:pt idx="39">
                  <c:v>2.1747655480147574</c:v>
                </c:pt>
                <c:pt idx="40">
                  <c:v>2.2900927162007365</c:v>
                </c:pt>
                <c:pt idx="41">
                  <c:v>2.4054198843867156</c:v>
                </c:pt>
                <c:pt idx="42">
                  <c:v>2.5207470525726947</c:v>
                </c:pt>
                <c:pt idx="43">
                  <c:v>2.6360742207586738</c:v>
                </c:pt>
                <c:pt idx="44">
                  <c:v>2.7514013889446529</c:v>
                </c:pt>
                <c:pt idx="45">
                  <c:v>2.866728557130632</c:v>
                </c:pt>
                <c:pt idx="46">
                  <c:v>2.9820557253166111</c:v>
                </c:pt>
                <c:pt idx="47">
                  <c:v>3.0973828935025902</c:v>
                </c:pt>
                <c:pt idx="48">
                  <c:v>3.2127100616885693</c:v>
                </c:pt>
                <c:pt idx="49">
                  <c:v>3.3284550080286519</c:v>
                </c:pt>
                <c:pt idx="50">
                  <c:v>3.4441999543687345</c:v>
                </c:pt>
                <c:pt idx="51">
                  <c:v>3.5599449007088171</c:v>
                </c:pt>
                <c:pt idx="52">
                  <c:v>3.6756898470488997</c:v>
                </c:pt>
                <c:pt idx="53">
                  <c:v>3.7914347933889823</c:v>
                </c:pt>
                <c:pt idx="54">
                  <c:v>3.9071797397290648</c:v>
                </c:pt>
                <c:pt idx="55">
                  <c:v>4.022924686069147</c:v>
                </c:pt>
                <c:pt idx="56">
                  <c:v>4.1712117916331595</c:v>
                </c:pt>
                <c:pt idx="57">
                  <c:v>4.3194988971971719</c:v>
                </c:pt>
                <c:pt idx="58">
                  <c:v>4.4677860027611844</c:v>
                </c:pt>
                <c:pt idx="59">
                  <c:v>4.5864596279384342</c:v>
                </c:pt>
                <c:pt idx="60">
                  <c:v>4.705133253115684</c:v>
                </c:pt>
                <c:pt idx="61">
                  <c:v>4.8238068782929338</c:v>
                </c:pt>
                <c:pt idx="62">
                  <c:v>4.9424805034701835</c:v>
                </c:pt>
                <c:pt idx="63">
                  <c:v>5.0392778915193395</c:v>
                </c:pt>
                <c:pt idx="64">
                  <c:v>5.1360752795684954</c:v>
                </c:pt>
                <c:pt idx="65">
                  <c:v>5.2328726676176514</c:v>
                </c:pt>
                <c:pt idx="66">
                  <c:v>5.3296700556668073</c:v>
                </c:pt>
                <c:pt idx="67">
                  <c:v>5.4264674437159632</c:v>
                </c:pt>
                <c:pt idx="68">
                  <c:v>5.5232648317651192</c:v>
                </c:pt>
                <c:pt idx="69">
                  <c:v>5.6200622198142751</c:v>
                </c:pt>
                <c:pt idx="70">
                  <c:v>5.7168596078634311</c:v>
                </c:pt>
                <c:pt idx="71">
                  <c:v>5.813656995912587</c:v>
                </c:pt>
                <c:pt idx="72">
                  <c:v>5.8938336417946022</c:v>
                </c:pt>
                <c:pt idx="73">
                  <c:v>5.9740102876766175</c:v>
                </c:pt>
                <c:pt idx="74">
                  <c:v>6.0541869335586327</c:v>
                </c:pt>
                <c:pt idx="75">
                  <c:v>6.1343635794406479</c:v>
                </c:pt>
                <c:pt idx="76">
                  <c:v>6.2145402253226631</c:v>
                </c:pt>
                <c:pt idx="77">
                  <c:v>6.2947168712046784</c:v>
                </c:pt>
                <c:pt idx="78">
                  <c:v>6.3748935170866936</c:v>
                </c:pt>
                <c:pt idx="79">
                  <c:v>6.4550701629687088</c:v>
                </c:pt>
                <c:pt idx="80">
                  <c:v>6.5352468088507241</c:v>
                </c:pt>
                <c:pt idx="81">
                  <c:v>6.6154234547327393</c:v>
                </c:pt>
                <c:pt idx="82">
                  <c:v>6.6956001006147545</c:v>
                </c:pt>
                <c:pt idx="83">
                  <c:v>6.7757767464967698</c:v>
                </c:pt>
                <c:pt idx="84">
                  <c:v>6.855953392378785</c:v>
                </c:pt>
                <c:pt idx="85">
                  <c:v>6.9361300382608002</c:v>
                </c:pt>
                <c:pt idx="86">
                  <c:v>7.0163066841428154</c:v>
                </c:pt>
                <c:pt idx="87">
                  <c:v>7.0964833300248307</c:v>
                </c:pt>
                <c:pt idx="88">
                  <c:v>7.1766599759068459</c:v>
                </c:pt>
                <c:pt idx="89">
                  <c:v>7.2568366217888611</c:v>
                </c:pt>
                <c:pt idx="90">
                  <c:v>7.3370132676708764</c:v>
                </c:pt>
                <c:pt idx="91">
                  <c:v>7.4171899135528916</c:v>
                </c:pt>
                <c:pt idx="92">
                  <c:v>7.4973665594349068</c:v>
                </c:pt>
                <c:pt idx="93">
                  <c:v>7.577543205316922</c:v>
                </c:pt>
                <c:pt idx="94">
                  <c:v>7.6577198511989373</c:v>
                </c:pt>
                <c:pt idx="95">
                  <c:v>7.7243795305053329</c:v>
                </c:pt>
                <c:pt idx="96">
                  <c:v>7.7910392098117285</c:v>
                </c:pt>
                <c:pt idx="97">
                  <c:v>7.8576988891181241</c:v>
                </c:pt>
                <c:pt idx="98">
                  <c:v>7.9243585684245197</c:v>
                </c:pt>
                <c:pt idx="99">
                  <c:v>7.9910182477309153</c:v>
                </c:pt>
                <c:pt idx="100">
                  <c:v>8.0576779270373109</c:v>
                </c:pt>
                <c:pt idx="101">
                  <c:v>8.1243376063437065</c:v>
                </c:pt>
                <c:pt idx="102">
                  <c:v>8.1918603088993294</c:v>
                </c:pt>
                <c:pt idx="103">
                  <c:v>8.2593830114549522</c:v>
                </c:pt>
                <c:pt idx="104">
                  <c:v>8.3269057140105751</c:v>
                </c:pt>
                <c:pt idx="105">
                  <c:v>8.394428416566198</c:v>
                </c:pt>
                <c:pt idx="106">
                  <c:v>8.4619511191218209</c:v>
                </c:pt>
                <c:pt idx="107">
                  <c:v>8.5294738216774437</c:v>
                </c:pt>
                <c:pt idx="108">
                  <c:v>8.5969965242330666</c:v>
                </c:pt>
                <c:pt idx="109">
                  <c:v>8.6680715455718698</c:v>
                </c:pt>
                <c:pt idx="110">
                  <c:v>8.7391465669106729</c:v>
                </c:pt>
                <c:pt idx="111">
                  <c:v>8.8102215882494761</c:v>
                </c:pt>
                <c:pt idx="112">
                  <c:v>8.8812966095882793</c:v>
                </c:pt>
                <c:pt idx="113">
                  <c:v>8.9523716309270824</c:v>
                </c:pt>
                <c:pt idx="114">
                  <c:v>9.0234466522658856</c:v>
                </c:pt>
                <c:pt idx="115">
                  <c:v>9.0945216736046888</c:v>
                </c:pt>
                <c:pt idx="116">
                  <c:v>9.1973646631275692</c:v>
                </c:pt>
                <c:pt idx="117">
                  <c:v>9.3002076526504496</c:v>
                </c:pt>
                <c:pt idx="118">
                  <c:v>9.3803200521905499</c:v>
                </c:pt>
                <c:pt idx="119">
                  <c:v>9.4604324517306502</c:v>
                </c:pt>
                <c:pt idx="120">
                  <c:v>9.5405448512707505</c:v>
                </c:pt>
                <c:pt idx="121">
                  <c:v>9.6206572508108508</c:v>
                </c:pt>
                <c:pt idx="122">
                  <c:v>9.6860053457979216</c:v>
                </c:pt>
                <c:pt idx="123">
                  <c:v>9.7513534407849924</c:v>
                </c:pt>
                <c:pt idx="124">
                  <c:v>9.8167015357720633</c:v>
                </c:pt>
                <c:pt idx="125">
                  <c:v>9.8820496307591341</c:v>
                </c:pt>
                <c:pt idx="126">
                  <c:v>9.947397725746205</c:v>
                </c:pt>
                <c:pt idx="127">
                  <c:v>10.012745820733276</c:v>
                </c:pt>
                <c:pt idx="128">
                  <c:v>10.078093915720347</c:v>
                </c:pt>
                <c:pt idx="129">
                  <c:v>10.143442010707417</c:v>
                </c:pt>
                <c:pt idx="130">
                  <c:v>10.208790105694488</c:v>
                </c:pt>
                <c:pt idx="131">
                  <c:v>10.274138200681559</c:v>
                </c:pt>
                <c:pt idx="132">
                  <c:v>10.33948629566863</c:v>
                </c:pt>
                <c:pt idx="133">
                  <c:v>10.404834390655701</c:v>
                </c:pt>
                <c:pt idx="134">
                  <c:v>10.470182485642772</c:v>
                </c:pt>
                <c:pt idx="135">
                  <c:v>10.535530580629842</c:v>
                </c:pt>
                <c:pt idx="136">
                  <c:v>10.600878675616913</c:v>
                </c:pt>
                <c:pt idx="137">
                  <c:v>10.667364677882246</c:v>
                </c:pt>
                <c:pt idx="138">
                  <c:v>10.733850680147578</c:v>
                </c:pt>
                <c:pt idx="139">
                  <c:v>10.80033668241291</c:v>
                </c:pt>
                <c:pt idx="140">
                  <c:v>10.866822684678242</c:v>
                </c:pt>
                <c:pt idx="141">
                  <c:v>10.933308686943574</c:v>
                </c:pt>
                <c:pt idx="142">
                  <c:v>10.985879618267083</c:v>
                </c:pt>
                <c:pt idx="143">
                  <c:v>11.038450549590591</c:v>
                </c:pt>
                <c:pt idx="144">
                  <c:v>11.091021480914099</c:v>
                </c:pt>
                <c:pt idx="145">
                  <c:v>11.143592412237608</c:v>
                </c:pt>
                <c:pt idx="146">
                  <c:v>11.186203728050643</c:v>
                </c:pt>
                <c:pt idx="147">
                  <c:v>11.228815043863678</c:v>
                </c:pt>
                <c:pt idx="148">
                  <c:v>11.271426359676713</c:v>
                </c:pt>
                <c:pt idx="149">
                  <c:v>11.314037675489748</c:v>
                </c:pt>
                <c:pt idx="150">
                  <c:v>11.356648991302784</c:v>
                </c:pt>
                <c:pt idx="151">
                  <c:v>11.399260307115819</c:v>
                </c:pt>
                <c:pt idx="152">
                  <c:v>11.433994938964171</c:v>
                </c:pt>
                <c:pt idx="153">
                  <c:v>11.468729570812522</c:v>
                </c:pt>
                <c:pt idx="154">
                  <c:v>11.503464202660874</c:v>
                </c:pt>
                <c:pt idx="155">
                  <c:v>11.538198834509226</c:v>
                </c:pt>
                <c:pt idx="156">
                  <c:v>11.572933466357577</c:v>
                </c:pt>
                <c:pt idx="157">
                  <c:v>11.607668098205929</c:v>
                </c:pt>
                <c:pt idx="158">
                  <c:v>11.636475737625119</c:v>
                </c:pt>
                <c:pt idx="159">
                  <c:v>11.665283377044309</c:v>
                </c:pt>
                <c:pt idx="160">
                  <c:v>11.694091016463499</c:v>
                </c:pt>
                <c:pt idx="161">
                  <c:v>11.722898655882689</c:v>
                </c:pt>
                <c:pt idx="162">
                  <c:v>11.751706295301879</c:v>
                </c:pt>
                <c:pt idx="163">
                  <c:v>11.780513934721069</c:v>
                </c:pt>
                <c:pt idx="164">
                  <c:v>11.80932157414026</c:v>
                </c:pt>
                <c:pt idx="165">
                  <c:v>11.83265817702207</c:v>
                </c:pt>
                <c:pt idx="166">
                  <c:v>11.855994779903881</c:v>
                </c:pt>
                <c:pt idx="167">
                  <c:v>11.879331382785692</c:v>
                </c:pt>
                <c:pt idx="168">
                  <c:v>11.902667985667502</c:v>
                </c:pt>
                <c:pt idx="169">
                  <c:v>11.926004588549313</c:v>
                </c:pt>
                <c:pt idx="170">
                  <c:v>11.949341191431124</c:v>
                </c:pt>
                <c:pt idx="171">
                  <c:v>11.972677794312935</c:v>
                </c:pt>
                <c:pt idx="172">
                  <c:v>11.991621577873509</c:v>
                </c:pt>
                <c:pt idx="173">
                  <c:v>12.010565361434084</c:v>
                </c:pt>
                <c:pt idx="174">
                  <c:v>12.029509144994659</c:v>
                </c:pt>
                <c:pt idx="175">
                  <c:v>12.048452928555234</c:v>
                </c:pt>
                <c:pt idx="176">
                  <c:v>12.067396712115809</c:v>
                </c:pt>
                <c:pt idx="177">
                  <c:v>12.086340495676383</c:v>
                </c:pt>
                <c:pt idx="178">
                  <c:v>12.105284279236958</c:v>
                </c:pt>
                <c:pt idx="179">
                  <c:v>12.120695723184911</c:v>
                </c:pt>
                <c:pt idx="180">
                  <c:v>12.136107167132863</c:v>
                </c:pt>
                <c:pt idx="181">
                  <c:v>12.151518611080816</c:v>
                </c:pt>
                <c:pt idx="182">
                  <c:v>12.166930055028768</c:v>
                </c:pt>
                <c:pt idx="183">
                  <c:v>12.18234149897672</c:v>
                </c:pt>
                <c:pt idx="184">
                  <c:v>12.197752942924673</c:v>
                </c:pt>
                <c:pt idx="185">
                  <c:v>12.213164386872625</c:v>
                </c:pt>
                <c:pt idx="186">
                  <c:v>12.225742639980151</c:v>
                </c:pt>
                <c:pt idx="187">
                  <c:v>12.238320893087677</c:v>
                </c:pt>
                <c:pt idx="188">
                  <c:v>12.250899146195202</c:v>
                </c:pt>
                <c:pt idx="189">
                  <c:v>12.263477399302728</c:v>
                </c:pt>
                <c:pt idx="190">
                  <c:v>12.276055652410253</c:v>
                </c:pt>
                <c:pt idx="191">
                  <c:v>12.288633905517779</c:v>
                </c:pt>
                <c:pt idx="192">
                  <c:v>12.301212158625304</c:v>
                </c:pt>
                <c:pt idx="193">
                  <c:v>12.311522467751955</c:v>
                </c:pt>
                <c:pt idx="194">
                  <c:v>12.321832776878605</c:v>
                </c:pt>
                <c:pt idx="195">
                  <c:v>12.332143086005255</c:v>
                </c:pt>
                <c:pt idx="196">
                  <c:v>12.342453395131905</c:v>
                </c:pt>
                <c:pt idx="197">
                  <c:v>12.352763704258555</c:v>
                </c:pt>
                <c:pt idx="198">
                  <c:v>12.363074013385205</c:v>
                </c:pt>
                <c:pt idx="199">
                  <c:v>12.373384322511855</c:v>
                </c:pt>
                <c:pt idx="200">
                  <c:v>12.381887144297396</c:v>
                </c:pt>
                <c:pt idx="201">
                  <c:v>12.390389966082937</c:v>
                </c:pt>
                <c:pt idx="202">
                  <c:v>12.398892787868478</c:v>
                </c:pt>
                <c:pt idx="203">
                  <c:v>12.407395609654019</c:v>
                </c:pt>
                <c:pt idx="204">
                  <c:v>12.41589843143956</c:v>
                </c:pt>
                <c:pt idx="205">
                  <c:v>12.424401253225101</c:v>
                </c:pt>
                <c:pt idx="206">
                  <c:v>12.432904075010642</c:v>
                </c:pt>
                <c:pt idx="207">
                  <c:v>12.439979337143663</c:v>
                </c:pt>
                <c:pt idx="208">
                  <c:v>12.447054599276685</c:v>
                </c:pt>
                <c:pt idx="209">
                  <c:v>12.454129861409706</c:v>
                </c:pt>
                <c:pt idx="210">
                  <c:v>12.461205123542728</c:v>
                </c:pt>
                <c:pt idx="211">
                  <c:v>12.468280385675749</c:v>
                </c:pt>
                <c:pt idx="212">
                  <c:v>12.475355647808771</c:v>
                </c:pt>
                <c:pt idx="213">
                  <c:v>12.482430909941792</c:v>
                </c:pt>
                <c:pt idx="214">
                  <c:v>12.489506172074814</c:v>
                </c:pt>
                <c:pt idx="215">
                  <c:v>12.495323254598819</c:v>
                </c:pt>
                <c:pt idx="216">
                  <c:v>12.501140337122825</c:v>
                </c:pt>
                <c:pt idx="217">
                  <c:v>12.506957419646831</c:v>
                </c:pt>
                <c:pt idx="218">
                  <c:v>12.512774502170837</c:v>
                </c:pt>
                <c:pt idx="219">
                  <c:v>12.518591584694843</c:v>
                </c:pt>
                <c:pt idx="220">
                  <c:v>12.524408667218848</c:v>
                </c:pt>
                <c:pt idx="221">
                  <c:v>12.530225749742854</c:v>
                </c:pt>
                <c:pt idx="222">
                  <c:v>12.53604283226686</c:v>
                </c:pt>
                <c:pt idx="223">
                  <c:v>12.541859914790866</c:v>
                </c:pt>
                <c:pt idx="224">
                  <c:v>12.547676997314872</c:v>
                </c:pt>
                <c:pt idx="225">
                  <c:v>12.553494079838877</c:v>
                </c:pt>
              </c:numCache>
            </c:numRef>
          </c:xVal>
          <c:yVal>
            <c:numRef>
              <c:f>'Figure 3'!$G$24:$G$249</c:f>
              <c:numCache>
                <c:formatCode>General</c:formatCode>
                <c:ptCount val="226"/>
                <c:pt idx="0">
                  <c:v>1E-3</c:v>
                </c:pt>
                <c:pt idx="1">
                  <c:v>1.0001499811804133E-3</c:v>
                </c:pt>
                <c:pt idx="2">
                  <c:v>1.0002999842259855E-3</c:v>
                </c:pt>
                <c:pt idx="3">
                  <c:v>1.0004500096008338E-3</c:v>
                </c:pt>
                <c:pt idx="4">
                  <c:v>1.0011032749491899E-3</c:v>
                </c:pt>
                <c:pt idx="5">
                  <c:v>1.0017569559383438E-3</c:v>
                </c:pt>
                <c:pt idx="6">
                  <c:v>1.002411059402256E-3</c:v>
                </c:pt>
                <c:pt idx="7">
                  <c:v>1.0030655879344522E-3</c:v>
                </c:pt>
                <c:pt idx="8">
                  <c:v>1.0049408696972554E-3</c:v>
                </c:pt>
                <c:pt idx="9">
                  <c:v>1.0068196444774856E-3</c:v>
                </c:pt>
                <c:pt idx="10">
                  <c:v>1.0087019186549588E-3</c:v>
                </c:pt>
                <c:pt idx="11">
                  <c:v>1.010587698679101E-3</c:v>
                </c:pt>
                <c:pt idx="12">
                  <c:v>1.0201854135873244E-3</c:v>
                </c:pt>
                <c:pt idx="13">
                  <c:v>1.0298739314806662E-3</c:v>
                </c:pt>
                <c:pt idx="14">
                  <c:v>1.039654105919368E-3</c:v>
                </c:pt>
                <c:pt idx="15">
                  <c:v>1.0495267980531863E-3</c:v>
                </c:pt>
                <c:pt idx="16">
                  <c:v>1.0594928764174505E-3</c:v>
                </c:pt>
                <c:pt idx="17">
                  <c:v>1.0867837509172605E-3</c:v>
                </c:pt>
                <c:pt idx="18">
                  <c:v>1.1147747051824188E-3</c:v>
                </c:pt>
                <c:pt idx="19">
                  <c:v>1.1434835457565379E-3</c:v>
                </c:pt>
                <c:pt idx="20">
                  <c:v>1.1729285264235523E-3</c:v>
                </c:pt>
                <c:pt idx="21">
                  <c:v>1.203128357096041E-3</c:v>
                </c:pt>
                <c:pt idx="22">
                  <c:v>1.2341022136552462E-3</c:v>
                </c:pt>
                <c:pt idx="23">
                  <c:v>1.2841030993889914E-3</c:v>
                </c:pt>
                <c:pt idx="24">
                  <c:v>1.3361198290299736E-3</c:v>
                </c:pt>
                <c:pt idx="25">
                  <c:v>1.3902328474152737E-3</c:v>
                </c:pt>
                <c:pt idx="26">
                  <c:v>1.4465257423108564E-3</c:v>
                </c:pt>
                <c:pt idx="27">
                  <c:v>1.5050853601592628E-3</c:v>
                </c:pt>
                <c:pt idx="28">
                  <c:v>1.5660019266401501E-3</c:v>
                </c:pt>
                <c:pt idx="29">
                  <c:v>1.6293691721019983E-3</c:v>
                </c:pt>
                <c:pt idx="30">
                  <c:v>1.7209271812483366E-3</c:v>
                </c:pt>
                <c:pt idx="31">
                  <c:v>1.8175954641803634E-3</c:v>
                </c:pt>
                <c:pt idx="32">
                  <c:v>1.9196552515562705E-3</c:v>
                </c:pt>
                <c:pt idx="33">
                  <c:v>2.0274027889602706E-3</c:v>
                </c:pt>
                <c:pt idx="34">
                  <c:v>2.1411500860637014E-3</c:v>
                </c:pt>
                <c:pt idx="35">
                  <c:v>2.2612256955361764E-3</c:v>
                </c:pt>
                <c:pt idx="36">
                  <c:v>2.3879755230096543E-3</c:v>
                </c:pt>
                <c:pt idx="37">
                  <c:v>2.5222811546033808E-3</c:v>
                </c:pt>
                <c:pt idx="38">
                  <c:v>2.6640657683916036E-3</c:v>
                </c:pt>
                <c:pt idx="39">
                  <c:v>2.8137372010942356E-3</c:v>
                </c:pt>
                <c:pt idx="40">
                  <c:v>2.9717245301518276E-3</c:v>
                </c:pt>
                <c:pt idx="41">
                  <c:v>3.1384790636930782E-3</c:v>
                </c:pt>
                <c:pt idx="42">
                  <c:v>3.3144753628774055E-3</c:v>
                </c:pt>
                <c:pt idx="43">
                  <c:v>3.5002122959129894E-3</c:v>
                </c:pt>
                <c:pt idx="44">
                  <c:v>3.6962141226613951E-3</c:v>
                </c:pt>
                <c:pt idx="45">
                  <c:v>3.9030316084232176E-3</c:v>
                </c:pt>
                <c:pt idx="46">
                  <c:v>4.121243165167288E-3</c:v>
                </c:pt>
                <c:pt idx="47">
                  <c:v>4.3514560180417852E-3</c:v>
                </c:pt>
                <c:pt idx="48">
                  <c:v>4.5943073944949078E-3</c:v>
                </c:pt>
                <c:pt idx="49">
                  <c:v>4.8514187093089117E-3</c:v>
                </c:pt>
                <c:pt idx="50">
                  <c:v>5.1226421697446421E-3</c:v>
                </c:pt>
                <c:pt idx="51">
                  <c:v>5.4087205199706634E-3</c:v>
                </c:pt>
                <c:pt idx="52">
                  <c:v>5.7104319326205704E-3</c:v>
                </c:pt>
                <c:pt idx="53">
                  <c:v>6.0285912719038118E-3</c:v>
                </c:pt>
                <c:pt idx="54">
                  <c:v>6.3640513491256346E-3</c:v>
                </c:pt>
                <c:pt idx="55">
                  <c:v>6.7177041623920119E-3</c:v>
                </c:pt>
                <c:pt idx="56">
                  <c:v>7.1988669234062724E-3</c:v>
                </c:pt>
                <c:pt idx="57">
                  <c:v>7.7134852575262555E-3</c:v>
                </c:pt>
                <c:pt idx="58">
                  <c:v>8.2637358277115464E-3</c:v>
                </c:pt>
                <c:pt idx="59">
                  <c:v>8.7313081827938548E-3</c:v>
                </c:pt>
                <c:pt idx="60">
                  <c:v>9.2244037179762591E-3</c:v>
                </c:pt>
                <c:pt idx="61">
                  <c:v>9.744307049786901E-3</c:v>
                </c:pt>
                <c:pt idx="62">
                  <c:v>1.0292354808536779E-2</c:v>
                </c:pt>
                <c:pt idx="63">
                  <c:v>1.0761179946056403E-2</c:v>
                </c:pt>
                <c:pt idx="64">
                  <c:v>1.1250432888044067E-2</c:v>
                </c:pt>
                <c:pt idx="65">
                  <c:v>1.1760917119654183E-2</c:v>
                </c:pt>
                <c:pt idx="66">
                  <c:v>1.2293459633743209E-2</c:v>
                </c:pt>
                <c:pt idx="67">
                  <c:v>1.2848910830260286E-2</c:v>
                </c:pt>
                <c:pt idx="68">
                  <c:v>1.3428144314363424E-2</c:v>
                </c:pt>
                <c:pt idx="69">
                  <c:v>1.4032056590517867E-2</c:v>
                </c:pt>
                <c:pt idx="70">
                  <c:v>1.466156664380338E-2</c:v>
                </c:pt>
                <c:pt idx="71">
                  <c:v>1.5317615394529933E-2</c:v>
                </c:pt>
                <c:pt idx="72">
                  <c:v>1.588179713527595E-2</c:v>
                </c:pt>
                <c:pt idx="73">
                  <c:v>1.6465403454266801E-2</c:v>
                </c:pt>
                <c:pt idx="74">
                  <c:v>1.7069000989706384E-2</c:v>
                </c:pt>
                <c:pt idx="75">
                  <c:v>1.769316516977543E-2</c:v>
                </c:pt>
                <c:pt idx="76">
                  <c:v>1.8338479712227049E-2</c:v>
                </c:pt>
                <c:pt idx="77">
                  <c:v>1.9005536056936785E-2</c:v>
                </c:pt>
                <c:pt idx="78">
                  <c:v>1.9694932732735433E-2</c:v>
                </c:pt>
                <c:pt idx="79">
                  <c:v>2.0407274655522011E-2</c:v>
                </c:pt>
                <c:pt idx="80">
                  <c:v>2.1143172351634931E-2</c:v>
                </c:pt>
                <c:pt idx="81">
                  <c:v>2.1903241101291351E-2</c:v>
                </c:pt>
                <c:pt idx="82">
                  <c:v>2.2688099998765414E-2</c:v>
                </c:pt>
                <c:pt idx="83">
                  <c:v>2.3498370926399906E-2</c:v>
                </c:pt>
                <c:pt idx="84">
                  <c:v>2.4334677438870949E-2</c:v>
                </c:pt>
                <c:pt idx="85">
                  <c:v>2.5197643553720128E-2</c:v>
                </c:pt>
                <c:pt idx="86">
                  <c:v>2.6087892444458978E-2</c:v>
                </c:pt>
                <c:pt idx="87">
                  <c:v>2.7006045033048875E-2</c:v>
                </c:pt>
                <c:pt idx="88">
                  <c:v>2.7952718478848823E-2</c:v>
                </c:pt>
                <c:pt idx="89">
                  <c:v>2.8928524561268883E-2</c:v>
                </c:pt>
                <c:pt idx="90">
                  <c:v>2.9934067953605408E-2</c:v>
                </c:pt>
                <c:pt idx="91">
                  <c:v>3.0969944385939901E-2</c:v>
                </c:pt>
                <c:pt idx="92">
                  <c:v>3.2036738695474846E-2</c:v>
                </c:pt>
                <c:pt idx="93">
                  <c:v>3.3135022763188797E-2</c:v>
                </c:pt>
                <c:pt idx="94">
                  <c:v>3.426535333623229E-2</c:v>
                </c:pt>
                <c:pt idx="95">
                  <c:v>3.5229907648196966E-2</c:v>
                </c:pt>
                <c:pt idx="96">
                  <c:v>3.6217286663852807E-2</c:v>
                </c:pt>
                <c:pt idx="97">
                  <c:v>3.72277795351902E-2</c:v>
                </c:pt>
                <c:pt idx="98">
                  <c:v>3.8261663915221344E-2</c:v>
                </c:pt>
                <c:pt idx="99">
                  <c:v>3.9319204889553427E-2</c:v>
                </c:pt>
                <c:pt idx="100">
                  <c:v>4.040065387064181E-2</c:v>
                </c:pt>
                <c:pt idx="101">
                  <c:v>4.150624746035337E-2</c:v>
                </c:pt>
                <c:pt idx="102">
                  <c:v>4.2650996208473832E-2</c:v>
                </c:pt>
                <c:pt idx="103">
                  <c:v>4.3820956464652921E-2</c:v>
                </c:pt>
                <c:pt idx="104">
                  <c:v>4.5016320170590263E-2</c:v>
                </c:pt>
                <c:pt idx="105">
                  <c:v>4.623725854348703E-2</c:v>
                </c:pt>
                <c:pt idx="106">
                  <c:v>4.7483920715645493E-2</c:v>
                </c:pt>
                <c:pt idx="107">
                  <c:v>4.8756432352768948E-2</c:v>
                </c:pt>
                <c:pt idx="108">
                  <c:v>5.0054894254089682E-2</c:v>
                </c:pt>
                <c:pt idx="109">
                  <c:v>5.1449782791465032E-2</c:v>
                </c:pt>
                <c:pt idx="110">
                  <c:v>5.2873559853860712E-2</c:v>
                </c:pt>
                <c:pt idx="111">
                  <c:v>5.4326243280191762E-2</c:v>
                </c:pt>
                <c:pt idx="112">
                  <c:v>5.5807813196736472E-2</c:v>
                </c:pt>
                <c:pt idx="113">
                  <c:v>5.7318210172708224E-2</c:v>
                </c:pt>
                <c:pt idx="114">
                  <c:v>5.885733338979969E-2</c:v>
                </c:pt>
                <c:pt idx="115">
                  <c:v>6.0425038833620652E-2</c:v>
                </c:pt>
                <c:pt idx="116">
                  <c:v>6.2743657119984475E-2</c:v>
                </c:pt>
                <c:pt idx="117">
                  <c:v>6.512096647970575E-2</c:v>
                </c:pt>
                <c:pt idx="118">
                  <c:v>6.7012894256174418E-2</c:v>
                </c:pt>
                <c:pt idx="119">
                  <c:v>6.8939307293001031E-2</c:v>
                </c:pt>
                <c:pt idx="120">
                  <c:v>7.0899570585807536E-2</c:v>
                </c:pt>
                <c:pt idx="121">
                  <c:v>7.2892960846648383E-2</c:v>
                </c:pt>
                <c:pt idx="122">
                  <c:v>7.4542948579470344E-2</c:v>
                </c:pt>
                <c:pt idx="123">
                  <c:v>7.621395096659421E-2</c:v>
                </c:pt>
                <c:pt idx="124">
                  <c:v>7.7905438916206091E-2</c:v>
                </c:pt>
                <c:pt idx="125">
                  <c:v>7.9616840969573721E-2</c:v>
                </c:pt>
                <c:pt idx="126">
                  <c:v>8.1347542764665715E-2</c:v>
                </c:pt>
                <c:pt idx="127">
                  <c:v>8.3096886587357643E-2</c:v>
                </c:pt>
                <c:pt idx="128">
                  <c:v>8.486417100402345E-2</c:v>
                </c:pt>
                <c:pt idx="129">
                  <c:v>8.664865057519687E-2</c:v>
                </c:pt>
                <c:pt idx="130">
                  <c:v>8.8449535654297917E-2</c:v>
                </c:pt>
                <c:pt idx="131">
                  <c:v>9.0265992273229997E-2</c:v>
                </c:pt>
                <c:pt idx="132">
                  <c:v>9.2097142112096825E-2</c:v>
                </c:pt>
                <c:pt idx="133">
                  <c:v>9.3942062547594629E-2</c:v>
                </c:pt>
                <c:pt idx="134">
                  <c:v>9.5799786773603901E-2</c:v>
                </c:pt>
                <c:pt idx="135">
                  <c:v>9.7669303985887107E-2</c:v>
                </c:pt>
                <c:pt idx="136">
                  <c:v>9.9549559619574762E-2</c:v>
                </c:pt>
                <c:pt idx="137">
                  <c:v>0.10147244306922361</c:v>
                </c:pt>
                <c:pt idx="138">
                  <c:v>0.10340410311680069</c:v>
                </c:pt>
                <c:pt idx="139">
                  <c:v>0.1053432914854287</c:v>
                </c:pt>
                <c:pt idx="140">
                  <c:v>0.10728871418061854</c:v>
                </c:pt>
                <c:pt idx="141">
                  <c:v>0.10923903165365512</c:v>
                </c:pt>
                <c:pt idx="142">
                  <c:v>0.1107837155751929</c:v>
                </c:pt>
                <c:pt idx="143">
                  <c:v>0.11232988972146719</c:v>
                </c:pt>
                <c:pt idx="144">
                  <c:v>0.11387683104673879</c:v>
                </c:pt>
                <c:pt idx="145">
                  <c:v>0.11542379818399856</c:v>
                </c:pt>
                <c:pt idx="146">
                  <c:v>0.11667718790812416</c:v>
                </c:pt>
                <c:pt idx="147">
                  <c:v>0.11792968153031438</c:v>
                </c:pt>
                <c:pt idx="148">
                  <c:v>0.11918085637706564</c:v>
                </c:pt>
                <c:pt idx="149">
                  <c:v>0.12043028080726324</c:v>
                </c:pt>
                <c:pt idx="150">
                  <c:v>0.1216775137604288</c:v>
                </c:pt>
                <c:pt idx="151">
                  <c:v>0.12292210418309547</c:v>
                </c:pt>
                <c:pt idx="152">
                  <c:v>0.12393435742098693</c:v>
                </c:pt>
                <c:pt idx="153">
                  <c:v>0.1249442924066224</c:v>
                </c:pt>
                <c:pt idx="154">
                  <c:v>0.12595164786513138</c:v>
                </c:pt>
                <c:pt idx="155">
                  <c:v>0.12695615655453071</c:v>
                </c:pt>
                <c:pt idx="156">
                  <c:v>0.12795754470958065</c:v>
                </c:pt>
                <c:pt idx="157">
                  <c:v>0.12895553137349011</c:v>
                </c:pt>
                <c:pt idx="158">
                  <c:v>0.12978043835129593</c:v>
                </c:pt>
                <c:pt idx="159">
                  <c:v>0.13060263759792828</c:v>
                </c:pt>
                <c:pt idx="160">
                  <c:v>0.13142195498896986</c:v>
                </c:pt>
                <c:pt idx="161">
                  <c:v>0.13223821121968818</c:v>
                </c:pt>
                <c:pt idx="162">
                  <c:v>0.13305122120105736</c:v>
                </c:pt>
                <c:pt idx="163">
                  <c:v>0.13386079334785364</c:v>
                </c:pt>
                <c:pt idx="164">
                  <c:v>0.13466672874270041</c:v>
                </c:pt>
                <c:pt idx="165">
                  <c:v>0.13531679564620527</c:v>
                </c:pt>
                <c:pt idx="166">
                  <c:v>0.13596422550371912</c:v>
                </c:pt>
                <c:pt idx="167">
                  <c:v>0.13660889908346976</c:v>
                </c:pt>
                <c:pt idx="168">
                  <c:v>0.1372506920494562</c:v>
                </c:pt>
                <c:pt idx="169">
                  <c:v>0.13788947432225565</c:v>
                </c:pt>
                <c:pt idx="170">
                  <c:v>0.13852510933138806</c:v>
                </c:pt>
                <c:pt idx="171">
                  <c:v>0.13915745314409755</c:v>
                </c:pt>
                <c:pt idx="172">
                  <c:v>0.13966824137599099</c:v>
                </c:pt>
                <c:pt idx="173">
                  <c:v>0.14017667460647451</c:v>
                </c:pt>
                <c:pt idx="174">
                  <c:v>0.14068266212505795</c:v>
                </c:pt>
                <c:pt idx="175">
                  <c:v>0.14118610800899914</c:v>
                </c:pt>
                <c:pt idx="176">
                  <c:v>0.14168691046830639</c:v>
                </c:pt>
                <c:pt idx="177">
                  <c:v>0.14218496108282311</c:v>
                </c:pt>
                <c:pt idx="178">
                  <c:v>0.14268014391652617</c:v>
                </c:pt>
                <c:pt idx="179">
                  <c:v>0.1430807914871996</c:v>
                </c:pt>
                <c:pt idx="180">
                  <c:v>0.14347938711624059</c:v>
                </c:pt>
                <c:pt idx="181">
                  <c:v>0.14387585429819169</c:v>
                </c:pt>
                <c:pt idx="182">
                  <c:v>0.14427011118425007</c:v>
                </c:pt>
                <c:pt idx="183">
                  <c:v>0.14466206991969216</c:v>
                </c:pt>
                <c:pt idx="184">
                  <c:v>0.14505163587441922</c:v>
                </c:pt>
                <c:pt idx="185">
                  <c:v>0.14543870675223777</c:v>
                </c:pt>
                <c:pt idx="186">
                  <c:v>0.14575269363581614</c:v>
                </c:pt>
                <c:pt idx="187">
                  <c:v>0.14606487956855285</c:v>
                </c:pt>
                <c:pt idx="188">
                  <c:v>0.14637519446749908</c:v>
                </c:pt>
                <c:pt idx="189">
                  <c:v>0.14668356277080655</c:v>
                </c:pt>
                <c:pt idx="190">
                  <c:v>0.14698990277017915</c:v>
                </c:pt>
                <c:pt idx="191">
                  <c:v>0.14729412583800344</c:v>
                </c:pt>
                <c:pt idx="192">
                  <c:v>0.1475961355354295</c:v>
                </c:pt>
                <c:pt idx="193">
                  <c:v>0.14784196664082891</c:v>
                </c:pt>
                <c:pt idx="194">
                  <c:v>0.14808617708224669</c:v>
                </c:pt>
                <c:pt idx="195">
                  <c:v>0.14832869885057898</c:v>
                </c:pt>
                <c:pt idx="196">
                  <c:v>0.14856945830758431</c:v>
                </c:pt>
                <c:pt idx="197">
                  <c:v>0.14880837551423232</c:v>
                </c:pt>
                <c:pt idx="198">
                  <c:v>0.14904536345603997</c:v>
                </c:pt>
                <c:pt idx="199">
                  <c:v>0.14928032715260522</c:v>
                </c:pt>
                <c:pt idx="200">
                  <c:v>0.14947250326709954</c:v>
                </c:pt>
                <c:pt idx="201">
                  <c:v>0.14966316866925289</c:v>
                </c:pt>
                <c:pt idx="202">
                  <c:v>0.1498522546580949</c:v>
                </c:pt>
                <c:pt idx="203">
                  <c:v>0.15003968671465728</c:v>
                </c:pt>
                <c:pt idx="204">
                  <c:v>0.1502253838260714</c:v>
                </c:pt>
                <c:pt idx="205">
                  <c:v>0.1504092577100771</c:v>
                </c:pt>
                <c:pt idx="206">
                  <c:v>0.15059121192850511</c:v>
                </c:pt>
                <c:pt idx="207">
                  <c:v>0.15074107844598714</c:v>
                </c:pt>
                <c:pt idx="208">
                  <c:v>0.15088947659757948</c:v>
                </c:pt>
                <c:pt idx="209">
                  <c:v>0.15103633464379415</c:v>
                </c:pt>
                <c:pt idx="210">
                  <c:v>0.15118157475921493</c:v>
                </c:pt>
                <c:pt idx="211">
                  <c:v>0.15132511235118784</c:v>
                </c:pt>
                <c:pt idx="212">
                  <c:v>0.15146685528417891</c:v>
                </c:pt>
                <c:pt idx="213">
                  <c:v>0.15160670300040244</c:v>
                </c:pt>
                <c:pt idx="214">
                  <c:v>0.15174454552136413</c:v>
                </c:pt>
                <c:pt idx="215">
                  <c:v>0.15185628918612859</c:v>
                </c:pt>
                <c:pt idx="216">
                  <c:v>0.15196652321932472</c:v>
                </c:pt>
                <c:pt idx="217">
                  <c:v>0.1520751687210106</c:v>
                </c:pt>
                <c:pt idx="218">
                  <c:v>0.1521821402143114</c:v>
                </c:pt>
                <c:pt idx="219">
                  <c:v>0.15228734495865848</c:v>
                </c:pt>
                <c:pt idx="220">
                  <c:v>0.15239068217928001</c:v>
                </c:pt>
                <c:pt idx="221">
                  <c:v>0.15249204220896015</c:v>
                </c:pt>
                <c:pt idx="222">
                  <c:v>0.15259130553331332</c:v>
                </c:pt>
                <c:pt idx="223">
                  <c:v>0.15268834172751486</c:v>
                </c:pt>
                <c:pt idx="224">
                  <c:v>0.1527830082733683</c:v>
                </c:pt>
                <c:pt idx="225">
                  <c:v>0.15287514924827023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25-4563-91EC-8EF600881A12}"/>
            </c:ext>
          </c:extLst>
        </c:ser>
        <c:ser>
          <c:idx val="3"/>
          <c:order val="4"/>
          <c:tx>
            <c:strRef>
              <c:f>'Figure 3'!$C$21</c:f>
              <c:strCache>
                <c:ptCount val="1"/>
                <c:pt idx="0">
                  <c:v>glucose</c:v>
                </c:pt>
              </c:strCache>
            </c:strRef>
          </c:tx>
          <c:spPr>
            <a:ln w="19050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'Figure 3'!$A$24:$A$320</c:f>
              <c:numCache>
                <c:formatCode>General</c:formatCode>
                <c:ptCount val="297"/>
                <c:pt idx="0">
                  <c:v>0</c:v>
                </c:pt>
                <c:pt idx="1">
                  <c:v>3.1394887688818509E-4</c:v>
                </c:pt>
                <c:pt idx="2">
                  <c:v>6.2789775377637019E-4</c:v>
                </c:pt>
                <c:pt idx="3">
                  <c:v>9.4184663066455528E-4</c:v>
                </c:pt>
                <c:pt idx="4">
                  <c:v>2.308354036891946E-3</c:v>
                </c:pt>
                <c:pt idx="5">
                  <c:v>3.6748614431193365E-3</c:v>
                </c:pt>
                <c:pt idx="6">
                  <c:v>5.0413688493467276E-3</c:v>
                </c:pt>
                <c:pt idx="7">
                  <c:v>6.4078762555741181E-3</c:v>
                </c:pt>
                <c:pt idx="8">
                  <c:v>1.0317070004513464E-2</c:v>
                </c:pt>
                <c:pt idx="9">
                  <c:v>1.422626375345281E-2</c:v>
                </c:pt>
                <c:pt idx="10">
                  <c:v>1.8135457502392156E-2</c:v>
                </c:pt>
                <c:pt idx="11">
                  <c:v>2.2044651251331503E-2</c:v>
                </c:pt>
                <c:pt idx="12">
                  <c:v>4.1712110837326219E-2</c:v>
                </c:pt>
                <c:pt idx="13">
                  <c:v>6.1379570423320935E-2</c:v>
                </c:pt>
                <c:pt idx="14">
                  <c:v>8.1047030009315651E-2</c:v>
                </c:pt>
                <c:pt idx="15">
                  <c:v>0.10071448959531037</c:v>
                </c:pt>
                <c:pt idx="16">
                  <c:v>0.1203819491813051</c:v>
                </c:pt>
                <c:pt idx="17">
                  <c:v>0.17366230158341595</c:v>
                </c:pt>
                <c:pt idx="18">
                  <c:v>0.22694265398552679</c:v>
                </c:pt>
                <c:pt idx="19">
                  <c:v>0.28022300638763764</c:v>
                </c:pt>
                <c:pt idx="20">
                  <c:v>0.33350335878974846</c:v>
                </c:pt>
                <c:pt idx="21">
                  <c:v>0.38678371119185928</c:v>
                </c:pt>
                <c:pt idx="22">
                  <c:v>0.4400640635939701</c:v>
                </c:pt>
                <c:pt idx="23">
                  <c:v>0.52286137965250024</c:v>
                </c:pt>
                <c:pt idx="24">
                  <c:v>0.60565869571103037</c:v>
                </c:pt>
                <c:pt idx="25">
                  <c:v>0.68845601176956051</c:v>
                </c:pt>
                <c:pt idx="26">
                  <c:v>0.77125332782809064</c:v>
                </c:pt>
                <c:pt idx="27">
                  <c:v>0.85405064388662078</c:v>
                </c:pt>
                <c:pt idx="28">
                  <c:v>0.93684795994515091</c:v>
                </c:pt>
                <c:pt idx="29">
                  <c:v>1.0196452760036812</c:v>
                </c:pt>
                <c:pt idx="30">
                  <c:v>1.1297158108341552</c:v>
                </c:pt>
                <c:pt idx="31">
                  <c:v>1.2397863456646292</c:v>
                </c:pt>
                <c:pt idx="32">
                  <c:v>1.3498568804951032</c:v>
                </c:pt>
                <c:pt idx="33">
                  <c:v>1.4599274153255772</c:v>
                </c:pt>
                <c:pt idx="34">
                  <c:v>1.5699979501560513</c:v>
                </c:pt>
                <c:pt idx="35">
                  <c:v>1.6800684849865253</c:v>
                </c:pt>
                <c:pt idx="36">
                  <c:v>1.7901390198169993</c:v>
                </c:pt>
                <c:pt idx="37">
                  <c:v>1.9002095546474733</c:v>
                </c:pt>
                <c:pt idx="38">
                  <c:v>2.0102800894779476</c:v>
                </c:pt>
                <c:pt idx="39">
                  <c:v>2.1203506243084216</c:v>
                </c:pt>
                <c:pt idx="40">
                  <c:v>2.2304211591388956</c:v>
                </c:pt>
                <c:pt idx="41">
                  <c:v>2.3404916939693696</c:v>
                </c:pt>
                <c:pt idx="42">
                  <c:v>2.4505622287998436</c:v>
                </c:pt>
                <c:pt idx="43">
                  <c:v>2.5606327636303177</c:v>
                </c:pt>
                <c:pt idx="44">
                  <c:v>2.6707032984607917</c:v>
                </c:pt>
                <c:pt idx="45">
                  <c:v>2.7807738332912657</c:v>
                </c:pt>
                <c:pt idx="46">
                  <c:v>2.8908443681217397</c:v>
                </c:pt>
                <c:pt idx="47">
                  <c:v>3.0009149029522137</c:v>
                </c:pt>
                <c:pt idx="48">
                  <c:v>3.1109854377826878</c:v>
                </c:pt>
                <c:pt idx="49">
                  <c:v>3.2210559726131618</c:v>
                </c:pt>
                <c:pt idx="50">
                  <c:v>3.3311265074436358</c:v>
                </c:pt>
                <c:pt idx="51">
                  <c:v>3.4411970422741098</c:v>
                </c:pt>
                <c:pt idx="52">
                  <c:v>3.5512675771045839</c:v>
                </c:pt>
                <c:pt idx="53">
                  <c:v>3.6613381119350579</c:v>
                </c:pt>
                <c:pt idx="54">
                  <c:v>3.7527527305482407</c:v>
                </c:pt>
                <c:pt idx="55">
                  <c:v>3.8441673491614234</c:v>
                </c:pt>
                <c:pt idx="56">
                  <c:v>3.9355819677746062</c:v>
                </c:pt>
                <c:pt idx="57">
                  <c:v>4.0269965863877886</c:v>
                </c:pt>
                <c:pt idx="58">
                  <c:v>4.1184112050009709</c:v>
                </c:pt>
                <c:pt idx="59">
                  <c:v>4.2098258236141533</c:v>
                </c:pt>
                <c:pt idx="60">
                  <c:v>4.3012404422273356</c:v>
                </c:pt>
                <c:pt idx="61">
                  <c:v>4.3926550608405179</c:v>
                </c:pt>
                <c:pt idx="62">
                  <c:v>4.4840696794537003</c:v>
                </c:pt>
                <c:pt idx="63">
                  <c:v>4.5754842980668826</c:v>
                </c:pt>
                <c:pt idx="64">
                  <c:v>4.666898916680065</c:v>
                </c:pt>
                <c:pt idx="65">
                  <c:v>4.7583135352932473</c:v>
                </c:pt>
                <c:pt idx="66">
                  <c:v>4.8497281539064296</c:v>
                </c:pt>
                <c:pt idx="67">
                  <c:v>4.941142772519612</c:v>
                </c:pt>
                <c:pt idx="68">
                  <c:v>5.0325573911327943</c:v>
                </c:pt>
                <c:pt idx="69">
                  <c:v>5.1239720097459767</c:v>
                </c:pt>
                <c:pt idx="70">
                  <c:v>5.215386628359159</c:v>
                </c:pt>
                <c:pt idx="71">
                  <c:v>5.3068012469723413</c:v>
                </c:pt>
                <c:pt idx="72">
                  <c:v>5.3982158655855237</c:v>
                </c:pt>
                <c:pt idx="73">
                  <c:v>5.489630484198706</c:v>
                </c:pt>
                <c:pt idx="74">
                  <c:v>5.5810451028118884</c:v>
                </c:pt>
                <c:pt idx="75">
                  <c:v>5.6724597214250707</c:v>
                </c:pt>
                <c:pt idx="76">
                  <c:v>5.7638743400382531</c:v>
                </c:pt>
                <c:pt idx="77">
                  <c:v>5.8552889586514354</c:v>
                </c:pt>
                <c:pt idx="78">
                  <c:v>5.9467035772646177</c:v>
                </c:pt>
                <c:pt idx="79">
                  <c:v>6.0381181958778001</c:v>
                </c:pt>
                <c:pt idx="80">
                  <c:v>6.1141237950533895</c:v>
                </c:pt>
                <c:pt idx="81">
                  <c:v>6.190129394228979</c:v>
                </c:pt>
                <c:pt idx="82">
                  <c:v>6.2661349934045685</c:v>
                </c:pt>
                <c:pt idx="83">
                  <c:v>6.3421405925801579</c:v>
                </c:pt>
                <c:pt idx="84">
                  <c:v>6.4181461917557474</c:v>
                </c:pt>
                <c:pt idx="85">
                  <c:v>6.4941517909313369</c:v>
                </c:pt>
                <c:pt idx="86">
                  <c:v>6.5701573901069263</c:v>
                </c:pt>
                <c:pt idx="87">
                  <c:v>6.6461629892825158</c:v>
                </c:pt>
                <c:pt idx="88">
                  <c:v>6.7221685884581053</c:v>
                </c:pt>
                <c:pt idx="89">
                  <c:v>6.7981741876336947</c:v>
                </c:pt>
                <c:pt idx="90">
                  <c:v>6.8741797868092842</c:v>
                </c:pt>
                <c:pt idx="91">
                  <c:v>6.9501853859848737</c:v>
                </c:pt>
                <c:pt idx="92">
                  <c:v>7.0261909851604631</c:v>
                </c:pt>
                <c:pt idx="93">
                  <c:v>7.1021965843360526</c:v>
                </c:pt>
                <c:pt idx="94">
                  <c:v>7.1782021835116421</c:v>
                </c:pt>
                <c:pt idx="95">
                  <c:v>7.2542077826872315</c:v>
                </c:pt>
                <c:pt idx="96">
                  <c:v>7.330213381862821</c:v>
                </c:pt>
                <c:pt idx="97">
                  <c:v>7.4062189810384105</c:v>
                </c:pt>
                <c:pt idx="98">
                  <c:v>7.4822245802139999</c:v>
                </c:pt>
                <c:pt idx="99">
                  <c:v>7.5582301793895894</c:v>
                </c:pt>
                <c:pt idx="100">
                  <c:v>7.6342357785651789</c:v>
                </c:pt>
                <c:pt idx="101">
                  <c:v>7.7102413777407683</c:v>
                </c:pt>
                <c:pt idx="102">
                  <c:v>7.7862469769163578</c:v>
                </c:pt>
                <c:pt idx="103">
                  <c:v>7.8622525760919473</c:v>
                </c:pt>
                <c:pt idx="104">
                  <c:v>7.9382581752675367</c:v>
                </c:pt>
                <c:pt idx="105">
                  <c:v>8.0142637744431262</c:v>
                </c:pt>
                <c:pt idx="106">
                  <c:v>8.0902693736187157</c:v>
                </c:pt>
                <c:pt idx="107">
                  <c:v>8.1662749727943051</c:v>
                </c:pt>
                <c:pt idx="108">
                  <c:v>8.2422805719698946</c:v>
                </c:pt>
                <c:pt idx="109">
                  <c:v>8.3182861711454841</c:v>
                </c:pt>
                <c:pt idx="110">
                  <c:v>8.3942917703210735</c:v>
                </c:pt>
                <c:pt idx="111">
                  <c:v>8.470297369496663</c:v>
                </c:pt>
                <c:pt idx="112">
                  <c:v>8.546329646527532</c:v>
                </c:pt>
                <c:pt idx="113">
                  <c:v>8.622361923558401</c:v>
                </c:pt>
                <c:pt idx="114">
                  <c:v>8.69839420058927</c:v>
                </c:pt>
                <c:pt idx="115">
                  <c:v>8.7744264776201391</c:v>
                </c:pt>
                <c:pt idx="116">
                  <c:v>8.8504587546510081</c:v>
                </c:pt>
                <c:pt idx="117">
                  <c:v>8.9264910316818771</c:v>
                </c:pt>
                <c:pt idx="118">
                  <c:v>8.9873929148875842</c:v>
                </c:pt>
                <c:pt idx="119">
                  <c:v>9.0482947980932913</c:v>
                </c:pt>
                <c:pt idx="120">
                  <c:v>9.1091966812989984</c:v>
                </c:pt>
                <c:pt idx="121">
                  <c:v>9.1700985645047055</c:v>
                </c:pt>
                <c:pt idx="122">
                  <c:v>9.219663903743534</c:v>
                </c:pt>
                <c:pt idx="123">
                  <c:v>9.2692292429823624</c:v>
                </c:pt>
                <c:pt idx="124">
                  <c:v>9.3187945822211908</c:v>
                </c:pt>
                <c:pt idx="125">
                  <c:v>9.3683599214600193</c:v>
                </c:pt>
                <c:pt idx="126">
                  <c:v>9.4179252606988477</c:v>
                </c:pt>
                <c:pt idx="127">
                  <c:v>9.4674905999376762</c:v>
                </c:pt>
                <c:pt idx="128">
                  <c:v>9.5079355819157492</c:v>
                </c:pt>
                <c:pt idx="129">
                  <c:v>9.5483805638938222</c:v>
                </c:pt>
                <c:pt idx="130">
                  <c:v>9.5888255458718952</c:v>
                </c:pt>
                <c:pt idx="131">
                  <c:v>9.6292705278499682</c:v>
                </c:pt>
                <c:pt idx="132">
                  <c:v>9.6697155098280412</c:v>
                </c:pt>
                <c:pt idx="133">
                  <c:v>9.7101604918061142</c:v>
                </c:pt>
                <c:pt idx="134">
                  <c:v>9.7437496892368962</c:v>
                </c:pt>
                <c:pt idx="135">
                  <c:v>9.7773388866676783</c:v>
                </c:pt>
                <c:pt idx="136">
                  <c:v>9.8109280840984603</c:v>
                </c:pt>
                <c:pt idx="137">
                  <c:v>9.8445172815292423</c:v>
                </c:pt>
                <c:pt idx="138">
                  <c:v>9.8781064789600244</c:v>
                </c:pt>
                <c:pt idx="139">
                  <c:v>9.9116956763908064</c:v>
                </c:pt>
                <c:pt idx="140">
                  <c:v>9.9452848738215884</c:v>
                </c:pt>
                <c:pt idx="141">
                  <c:v>9.9725577563062462</c:v>
                </c:pt>
                <c:pt idx="142">
                  <c:v>9.9998306387909039</c:v>
                </c:pt>
                <c:pt idx="143">
                  <c:v>10.027103521275562</c:v>
                </c:pt>
                <c:pt idx="144">
                  <c:v>10.054376403760219</c:v>
                </c:pt>
                <c:pt idx="145">
                  <c:v>10.081649286244877</c:v>
                </c:pt>
                <c:pt idx="146">
                  <c:v>10.108922168729535</c:v>
                </c:pt>
                <c:pt idx="147">
                  <c:v>10.136195051214193</c:v>
                </c:pt>
                <c:pt idx="148">
                  <c:v>10.158374083238449</c:v>
                </c:pt>
                <c:pt idx="149">
                  <c:v>10.180553115262706</c:v>
                </c:pt>
                <c:pt idx="150">
                  <c:v>10.202732147286962</c:v>
                </c:pt>
                <c:pt idx="151">
                  <c:v>10.224911179311219</c:v>
                </c:pt>
                <c:pt idx="152">
                  <c:v>10.247090211335475</c:v>
                </c:pt>
                <c:pt idx="153">
                  <c:v>10.269269243359732</c:v>
                </c:pt>
                <c:pt idx="154">
                  <c:v>10.291448275383988</c:v>
                </c:pt>
                <c:pt idx="155">
                  <c:v>10.309480998537104</c:v>
                </c:pt>
                <c:pt idx="156">
                  <c:v>10.32751372169022</c:v>
                </c:pt>
                <c:pt idx="157">
                  <c:v>10.345546444843336</c:v>
                </c:pt>
                <c:pt idx="158">
                  <c:v>10.363579167996452</c:v>
                </c:pt>
                <c:pt idx="159">
                  <c:v>10.381611891149568</c:v>
                </c:pt>
                <c:pt idx="160">
                  <c:v>10.399644614302684</c:v>
                </c:pt>
                <c:pt idx="161">
                  <c:v>10.4176773374558</c:v>
                </c:pt>
                <c:pt idx="162">
                  <c:v>10.432336553968646</c:v>
                </c:pt>
                <c:pt idx="163">
                  <c:v>10.446995770481493</c:v>
                </c:pt>
                <c:pt idx="164">
                  <c:v>10.46165498699434</c:v>
                </c:pt>
                <c:pt idx="165">
                  <c:v>10.476314203507187</c:v>
                </c:pt>
                <c:pt idx="166">
                  <c:v>10.490973420020033</c:v>
                </c:pt>
                <c:pt idx="167">
                  <c:v>10.50563263653288</c:v>
                </c:pt>
                <c:pt idx="168">
                  <c:v>10.520291853045727</c:v>
                </c:pt>
                <c:pt idx="169">
                  <c:v>10.532208822033166</c:v>
                </c:pt>
                <c:pt idx="170">
                  <c:v>10.544125791020605</c:v>
                </c:pt>
                <c:pt idx="171">
                  <c:v>10.556042760008044</c:v>
                </c:pt>
                <c:pt idx="172">
                  <c:v>10.567959728995483</c:v>
                </c:pt>
                <c:pt idx="173">
                  <c:v>10.579876697982922</c:v>
                </c:pt>
                <c:pt idx="174">
                  <c:v>10.591793666970361</c:v>
                </c:pt>
                <c:pt idx="175">
                  <c:v>10.6037106359578</c:v>
                </c:pt>
                <c:pt idx="176">
                  <c:v>10.613403205133006</c:v>
                </c:pt>
                <c:pt idx="177">
                  <c:v>10.623095774308212</c:v>
                </c:pt>
                <c:pt idx="178">
                  <c:v>10.632788343483417</c:v>
                </c:pt>
                <c:pt idx="179">
                  <c:v>10.642480912658623</c:v>
                </c:pt>
                <c:pt idx="180">
                  <c:v>10.652173481833829</c:v>
                </c:pt>
                <c:pt idx="181">
                  <c:v>10.661866051009035</c:v>
                </c:pt>
                <c:pt idx="182">
                  <c:v>10.671558620184241</c:v>
                </c:pt>
                <c:pt idx="183">
                  <c:v>10.679450904018459</c:v>
                </c:pt>
                <c:pt idx="184">
                  <c:v>10.687343187852678</c:v>
                </c:pt>
                <c:pt idx="185">
                  <c:v>10.695235471686896</c:v>
                </c:pt>
                <c:pt idx="186">
                  <c:v>10.703127755521114</c:v>
                </c:pt>
                <c:pt idx="187">
                  <c:v>10.711020039355333</c:v>
                </c:pt>
                <c:pt idx="188">
                  <c:v>10.718912323189551</c:v>
                </c:pt>
                <c:pt idx="189">
                  <c:v>10.726804607023769</c:v>
                </c:pt>
                <c:pt idx="190">
                  <c:v>10.733243260867415</c:v>
                </c:pt>
                <c:pt idx="191">
                  <c:v>10.73968191471106</c:v>
                </c:pt>
                <c:pt idx="192">
                  <c:v>10.746120568554705</c:v>
                </c:pt>
                <c:pt idx="193">
                  <c:v>10.75255922239835</c:v>
                </c:pt>
                <c:pt idx="194">
                  <c:v>10.758997876241995</c:v>
                </c:pt>
                <c:pt idx="195">
                  <c:v>10.76543653008564</c:v>
                </c:pt>
                <c:pt idx="196">
                  <c:v>10.771875183929286</c:v>
                </c:pt>
                <c:pt idx="197">
                  <c:v>10.777143216720402</c:v>
                </c:pt>
                <c:pt idx="198">
                  <c:v>10.782411249511519</c:v>
                </c:pt>
                <c:pt idx="199">
                  <c:v>10.787679282302635</c:v>
                </c:pt>
                <c:pt idx="200">
                  <c:v>10.792947315093752</c:v>
                </c:pt>
                <c:pt idx="201">
                  <c:v>10.798215347884868</c:v>
                </c:pt>
                <c:pt idx="202">
                  <c:v>10.803483380675985</c:v>
                </c:pt>
                <c:pt idx="203">
                  <c:v>10.808751413467101</c:v>
                </c:pt>
                <c:pt idx="204">
                  <c:v>10.813080064586041</c:v>
                </c:pt>
                <c:pt idx="205">
                  <c:v>10.81740871570498</c:v>
                </c:pt>
                <c:pt idx="206">
                  <c:v>10.821737366823919</c:v>
                </c:pt>
                <c:pt idx="207">
                  <c:v>10.826066017942859</c:v>
                </c:pt>
                <c:pt idx="208">
                  <c:v>10.830394669061798</c:v>
                </c:pt>
                <c:pt idx="209">
                  <c:v>10.834723320180737</c:v>
                </c:pt>
                <c:pt idx="210">
                  <c:v>10.839051971299677</c:v>
                </c:pt>
                <c:pt idx="211">
                  <c:v>10.842631091619388</c:v>
                </c:pt>
                <c:pt idx="212">
                  <c:v>10.8462102119391</c:v>
                </c:pt>
                <c:pt idx="213">
                  <c:v>10.849789332258812</c:v>
                </c:pt>
                <c:pt idx="214">
                  <c:v>10.853368452578524</c:v>
                </c:pt>
                <c:pt idx="215">
                  <c:v>10.856947572898235</c:v>
                </c:pt>
                <c:pt idx="216">
                  <c:v>10.860526693217947</c:v>
                </c:pt>
                <c:pt idx="217">
                  <c:v>10.864105813537659</c:v>
                </c:pt>
                <c:pt idx="218">
                  <c:v>10.867684933857371</c:v>
                </c:pt>
                <c:pt idx="219">
                  <c:v>10.870587937218639</c:v>
                </c:pt>
                <c:pt idx="220">
                  <c:v>10.873490940579908</c:v>
                </c:pt>
                <c:pt idx="221">
                  <c:v>10.876393943941176</c:v>
                </c:pt>
                <c:pt idx="222">
                  <c:v>10.879296947302445</c:v>
                </c:pt>
                <c:pt idx="223">
                  <c:v>10.882199950663713</c:v>
                </c:pt>
                <c:pt idx="224">
                  <c:v>10.885102954024982</c:v>
                </c:pt>
                <c:pt idx="225">
                  <c:v>10.88800595738625</c:v>
                </c:pt>
                <c:pt idx="226">
                  <c:v>10.890908960747518</c:v>
                </c:pt>
                <c:pt idx="227">
                  <c:v>10.893324441841221</c:v>
                </c:pt>
                <c:pt idx="228">
                  <c:v>10.895739922934924</c:v>
                </c:pt>
                <c:pt idx="229">
                  <c:v>10.898155404028627</c:v>
                </c:pt>
                <c:pt idx="230">
                  <c:v>10.900570885122329</c:v>
                </c:pt>
                <c:pt idx="231">
                  <c:v>10.902986366216032</c:v>
                </c:pt>
                <c:pt idx="232">
                  <c:v>10.905401847309735</c:v>
                </c:pt>
                <c:pt idx="233">
                  <c:v>10.907817328403437</c:v>
                </c:pt>
                <c:pt idx="234">
                  <c:v>10.91023280949714</c:v>
                </c:pt>
                <c:pt idx="235">
                  <c:v>10.912648290590843</c:v>
                </c:pt>
                <c:pt idx="236">
                  <c:v>10.915063771684546</c:v>
                </c:pt>
                <c:pt idx="237">
                  <c:v>10.917479252778248</c:v>
                </c:pt>
                <c:pt idx="238">
                  <c:v>10.919894733871951</c:v>
                </c:pt>
                <c:pt idx="239">
                  <c:v>10.922310214965654</c:v>
                </c:pt>
                <c:pt idx="240">
                  <c:v>10.924725696059356</c:v>
                </c:pt>
                <c:pt idx="241">
                  <c:v>10.927141177153059</c:v>
                </c:pt>
                <c:pt idx="242">
                  <c:v>10.929556658246762</c:v>
                </c:pt>
                <c:pt idx="243">
                  <c:v>10.932167999852668</c:v>
                </c:pt>
                <c:pt idx="244">
                  <c:v>10.934087338885123</c:v>
                </c:pt>
                <c:pt idx="245">
                  <c:v>10.936006677917577</c:v>
                </c:pt>
                <c:pt idx="246">
                  <c:v>10.937926016950032</c:v>
                </c:pt>
                <c:pt idx="247">
                  <c:v>10.939845355982486</c:v>
                </c:pt>
                <c:pt idx="248">
                  <c:v>10.941279287918581</c:v>
                </c:pt>
                <c:pt idx="249">
                  <c:v>10.942713219854676</c:v>
                </c:pt>
                <c:pt idx="250">
                  <c:v>10.943871343266878</c:v>
                </c:pt>
                <c:pt idx="251">
                  <c:v>10.945029466679079</c:v>
                </c:pt>
                <c:pt idx="252">
                  <c:v>10.946187590091281</c:v>
                </c:pt>
                <c:pt idx="253">
                  <c:v>10.947345713503482</c:v>
                </c:pt>
                <c:pt idx="254">
                  <c:v>10.948289571359121</c:v>
                </c:pt>
                <c:pt idx="255">
                  <c:v>10.949233429214759</c:v>
                </c:pt>
                <c:pt idx="256">
                  <c:v>10.950177287070398</c:v>
                </c:pt>
                <c:pt idx="257">
                  <c:v>10.951121144926036</c:v>
                </c:pt>
                <c:pt idx="258">
                  <c:v>10.952065002781675</c:v>
                </c:pt>
                <c:pt idx="259">
                  <c:v>10.953008860637313</c:v>
                </c:pt>
                <c:pt idx="260">
                  <c:v>10.953966276646092</c:v>
                </c:pt>
                <c:pt idx="261">
                  <c:v>10.954923692654871</c:v>
                </c:pt>
                <c:pt idx="262">
                  <c:v>10.95588110866365</c:v>
                </c:pt>
                <c:pt idx="263">
                  <c:v>10.956838524672429</c:v>
                </c:pt>
                <c:pt idx="264">
                  <c:v>10.957795940681208</c:v>
                </c:pt>
                <c:pt idx="265">
                  <c:v>10.958753356689988</c:v>
                </c:pt>
                <c:pt idx="266">
                  <c:v>10.959710772698767</c:v>
                </c:pt>
                <c:pt idx="267">
                  <c:v>10.961057332017518</c:v>
                </c:pt>
                <c:pt idx="268">
                  <c:v>10.962403891336269</c:v>
                </c:pt>
                <c:pt idx="269">
                  <c:v>10.96375045065502</c:v>
                </c:pt>
                <c:pt idx="270">
                  <c:v>10.965097009973771</c:v>
                </c:pt>
                <c:pt idx="271">
                  <c:v>10.966181698393253</c:v>
                </c:pt>
                <c:pt idx="272">
                  <c:v>10.967266386812735</c:v>
                </c:pt>
                <c:pt idx="273">
                  <c:v>10.968351075232217</c:v>
                </c:pt>
                <c:pt idx="274">
                  <c:v>10.969435763651699</c:v>
                </c:pt>
                <c:pt idx="275">
                  <c:v>10.970520452071181</c:v>
                </c:pt>
                <c:pt idx="276">
                  <c:v>10.971605140490663</c:v>
                </c:pt>
                <c:pt idx="277">
                  <c:v>10.972689828910145</c:v>
                </c:pt>
                <c:pt idx="278">
                  <c:v>10.973774517329627</c:v>
                </c:pt>
                <c:pt idx="279">
                  <c:v>10.974859205749109</c:v>
                </c:pt>
                <c:pt idx="280">
                  <c:v>10.975943894168591</c:v>
                </c:pt>
                <c:pt idx="281">
                  <c:v>10.977028582588073</c:v>
                </c:pt>
              </c:numCache>
            </c:numRef>
          </c:xVal>
          <c:yVal>
            <c:numRef>
              <c:f>'Figure 3'!$C$24:$C$320</c:f>
              <c:numCache>
                <c:formatCode>General</c:formatCode>
                <c:ptCount val="297"/>
                <c:pt idx="0">
                  <c:v>0.54722000000000004</c:v>
                </c:pt>
                <c:pt idx="1">
                  <c:v>0.54721954626763103</c:v>
                </c:pt>
                <c:pt idx="2">
                  <c:v>0.54721909246895739</c:v>
                </c:pt>
                <c:pt idx="3">
                  <c:v>0.54721863860257158</c:v>
                </c:pt>
                <c:pt idx="4">
                  <c:v>0.54721666234786059</c:v>
                </c:pt>
                <c:pt idx="5">
                  <c:v>0.54721468483279623</c:v>
                </c:pt>
                <c:pt idx="6">
                  <c:v>0.54721270603664773</c:v>
                </c:pt>
                <c:pt idx="7">
                  <c:v>0.54721072595154241</c:v>
                </c:pt>
                <c:pt idx="8">
                  <c:v>0.54720505434744926</c:v>
                </c:pt>
                <c:pt idx="9">
                  <c:v>0.54719937215674685</c:v>
                </c:pt>
                <c:pt idx="10">
                  <c:v>0.54719367935991636</c:v>
                </c:pt>
                <c:pt idx="11">
                  <c:v>0.54718797593722146</c:v>
                </c:pt>
                <c:pt idx="12">
                  <c:v>0.54715911966187281</c:v>
                </c:pt>
                <c:pt idx="13">
                  <c:v>0.54712999138962082</c:v>
                </c:pt>
                <c:pt idx="14">
                  <c:v>0.54710058855349752</c:v>
                </c:pt>
                <c:pt idx="15">
                  <c:v>0.54707090856325291</c:v>
                </c:pt>
                <c:pt idx="16">
                  <c:v>0.54704094880595022</c:v>
                </c:pt>
                <c:pt idx="17">
                  <c:v>0.54695835954729399</c:v>
                </c:pt>
                <c:pt idx="18">
                  <c:v>0.54687364427825313</c:v>
                </c:pt>
                <c:pt idx="19">
                  <c:v>0.54678674827949614</c:v>
                </c:pt>
                <c:pt idx="20">
                  <c:v>0.54669761541665207</c:v>
                </c:pt>
                <c:pt idx="21">
                  <c:v>0.54660618810965367</c:v>
                </c:pt>
                <c:pt idx="22">
                  <c:v>0.54651240729907535</c:v>
                </c:pt>
                <c:pt idx="23">
                  <c:v>0.54636185922203973</c:v>
                </c:pt>
                <c:pt idx="24">
                  <c:v>0.54620524609108179</c:v>
                </c:pt>
                <c:pt idx="25">
                  <c:v>0.54604232358741367</c:v>
                </c:pt>
                <c:pt idx="26">
                  <c:v>0.5458728375490548</c:v>
                </c:pt>
                <c:pt idx="27">
                  <c:v>0.54569652357867793</c:v>
                </c:pt>
                <c:pt idx="28">
                  <c:v>0.54551310663259711</c:v>
                </c:pt>
                <c:pt idx="29">
                  <c:v>0.54532230059043418</c:v>
                </c:pt>
                <c:pt idx="30">
                  <c:v>0.54505668949966035</c:v>
                </c:pt>
                <c:pt idx="31">
                  <c:v>0.54477675997478381</c:v>
                </c:pt>
                <c:pt idx="32">
                  <c:v>0.54448174023837337</c:v>
                </c:pt>
                <c:pt idx="33">
                  <c:v>0.54417081692379354</c:v>
                </c:pt>
                <c:pt idx="34">
                  <c:v>0.54384313283204488</c:v>
                </c:pt>
                <c:pt idx="35">
                  <c:v>0.54349778457217934</c:v>
                </c:pt>
                <c:pt idx="36">
                  <c:v>0.54313382007588362</c:v>
                </c:pt>
                <c:pt idx="37">
                  <c:v>0.54275023597665684</c:v>
                </c:pt>
                <c:pt idx="38">
                  <c:v>0.54234597484671043</c:v>
                </c:pt>
                <c:pt idx="39">
                  <c:v>0.54191992228555286</c:v>
                </c:pt>
                <c:pt idx="40">
                  <c:v>0.54147090385279995</c:v>
                </c:pt>
                <c:pt idx="41">
                  <c:v>0.54099768183629371</c:v>
                </c:pt>
                <c:pt idx="42">
                  <c:v>0.54049895184622465</c:v>
                </c:pt>
                <c:pt idx="43">
                  <c:v>0.53997333922601998</c:v>
                </c:pt>
                <c:pt idx="44">
                  <c:v>0.5394193952704629</c:v>
                </c:pt>
                <c:pt idx="45">
                  <c:v>0.5388355932408061</c:v>
                </c:pt>
                <c:pt idx="46">
                  <c:v>0.53822032416592136</c:v>
                </c:pt>
                <c:pt idx="47">
                  <c:v>0.53757189241797032</c:v>
                </c:pt>
                <c:pt idx="48">
                  <c:v>0.5368885110505689</c:v>
                </c:pt>
                <c:pt idx="49">
                  <c:v>0.53616829688681567</c:v>
                </c:pt>
                <c:pt idx="50">
                  <c:v>0.53540926534385347</c:v>
                </c:pt>
                <c:pt idx="51">
                  <c:v>0.53460932497990199</c:v>
                </c:pt>
                <c:pt idx="52">
                  <c:v>0.53376627174896685</c:v>
                </c:pt>
                <c:pt idx="53">
                  <c:v>0.53287778294767352</c:v>
                </c:pt>
                <c:pt idx="54">
                  <c:v>0.53210359627202464</c:v>
                </c:pt>
                <c:pt idx="55">
                  <c:v>0.53129491371078874</c:v>
                </c:pt>
                <c:pt idx="56">
                  <c:v>0.53045019886516509</c:v>
                </c:pt>
                <c:pt idx="57">
                  <c:v>0.52956784697990489</c:v>
                </c:pt>
                <c:pt idx="58">
                  <c:v>0.52864618190744561</c:v>
                </c:pt>
                <c:pt idx="59">
                  <c:v>0.52768345293065966</c:v>
                </c:pt>
                <c:pt idx="60">
                  <c:v>0.52667783144974356</c:v>
                </c:pt>
                <c:pt idx="61">
                  <c:v>0.52562740752848069</c:v>
                </c:pt>
                <c:pt idx="62">
                  <c:v>0.52453018628837245</c:v>
                </c:pt>
                <c:pt idx="63">
                  <c:v>0.5233840841411237</c:v>
                </c:pt>
                <c:pt idx="64">
                  <c:v>0.52218692485389206</c:v>
                </c:pt>
                <c:pt idx="65">
                  <c:v>0.52093643544208268</c:v>
                </c:pt>
                <c:pt idx="66">
                  <c:v>0.51963024188237994</c:v>
                </c:pt>
                <c:pt idx="67">
                  <c:v>0.51826586463731583</c:v>
                </c:pt>
                <c:pt idx="68">
                  <c:v>0.51684071398279186</c:v>
                </c:pt>
                <c:pt idx="69">
                  <c:v>0.51535208513036423</c:v>
                </c:pt>
                <c:pt idx="70">
                  <c:v>0.5137971531358545</c:v>
                </c:pt>
                <c:pt idx="71">
                  <c:v>0.51217296758518205</c:v>
                </c:pt>
                <c:pt idx="72">
                  <c:v>0.51047644704777773</c:v>
                </c:pt>
                <c:pt idx="73">
                  <c:v>0.50870437328765594</c:v>
                </c:pt>
                <c:pt idx="74">
                  <c:v>0.50685338522197121</c:v>
                </c:pt>
                <c:pt idx="75">
                  <c:v>0.504919972616517</c:v>
                </c:pt>
                <c:pt idx="76">
                  <c:v>0.50290046950717826</c:v>
                </c:pt>
                <c:pt idx="77">
                  <c:v>0.50079104733592705</c:v>
                </c:pt>
                <c:pt idx="78">
                  <c:v>0.49858770778957018</c:v>
                </c:pt>
                <c:pt idx="79">
                  <c:v>0.49628627532907577</c:v>
                </c:pt>
                <c:pt idx="80">
                  <c:v>0.49429496462899825</c:v>
                </c:pt>
                <c:pt idx="81">
                  <c:v>0.49223022480400225</c:v>
                </c:pt>
                <c:pt idx="82">
                  <c:v>0.49008935261721065</c:v>
                </c:pt>
                <c:pt idx="83">
                  <c:v>0.48786954571733265</c:v>
                </c:pt>
                <c:pt idx="84">
                  <c:v>0.48556789904141534</c:v>
                </c:pt>
                <c:pt idx="85">
                  <c:v>0.48318140108383956</c:v>
                </c:pt>
                <c:pt idx="86">
                  <c:v>0.4807069300390015</c:v>
                </c:pt>
                <c:pt idx="87">
                  <c:v>0.47814124981492778</c:v>
                </c:pt>
                <c:pt idx="88">
                  <c:v>0.47548100590852993</c:v>
                </c:pt>
                <c:pt idx="89">
                  <c:v>0.47272272113548885</c:v>
                </c:pt>
                <c:pt idx="90">
                  <c:v>0.46986279121196961</c:v>
                </c:pt>
                <c:pt idx="91">
                  <c:v>0.46689748018600391</c:v>
                </c:pt>
                <c:pt idx="92">
                  <c:v>0.46382291571457579</c:v>
                </c:pt>
                <c:pt idx="93">
                  <c:v>0.46063508418140314</c:v>
                </c:pt>
                <c:pt idx="94">
                  <c:v>0.45732982565094177</c:v>
                </c:pt>
                <c:pt idx="95">
                  <c:v>0.45390282865498266</c:v>
                </c:pt>
                <c:pt idx="96">
                  <c:v>0.45034962480850033</c:v>
                </c:pt>
                <c:pt idx="97">
                  <c:v>0.44666558325126621</c:v>
                </c:pt>
                <c:pt idx="98">
                  <c:v>0.44284590491189185</c:v>
                </c:pt>
                <c:pt idx="99">
                  <c:v>0.43888561659145464</c:v>
                </c:pt>
                <c:pt idx="100">
                  <c:v>0.43477956486447528</c:v>
                </c:pt>
                <c:pt idx="101">
                  <c:v>0.43052240979564832</c:v>
                </c:pt>
                <c:pt idx="102">
                  <c:v>0.42610861847145842</c:v>
                </c:pt>
                <c:pt idx="103">
                  <c:v>0.42153245834676711</c:v>
                </c:pt>
                <c:pt idx="104">
                  <c:v>0.4167879904076946</c:v>
                </c:pt>
                <c:pt idx="105">
                  <c:v>0.41186906215364838</c:v>
                </c:pt>
                <c:pt idx="106">
                  <c:v>0.40676930040322679</c:v>
                </c:pt>
                <c:pt idx="107">
                  <c:v>0.40148210393103551</c:v>
                </c:pt>
                <c:pt idx="108">
                  <c:v>0.39600063594533519</c:v>
                </c:pt>
                <c:pt idx="109">
                  <c:v>0.39031781642002578</c:v>
                </c:pt>
                <c:pt idx="110">
                  <c:v>0.38442631429894847</c:v>
                </c:pt>
                <c:pt idx="111">
                  <c:v>0.37831853959607753</c:v>
                </c:pt>
                <c:pt idx="112">
                  <c:v>0.37198437264089196</c:v>
                </c:pt>
                <c:pt idx="113">
                  <c:v>0.36541777841750689</c:v>
                </c:pt>
                <c:pt idx="114">
                  <c:v>0.35861033320919566</c:v>
                </c:pt>
                <c:pt idx="115">
                  <c:v>0.35155332207485213</c:v>
                </c:pt>
                <c:pt idx="116">
                  <c:v>0.34423773109163491</c:v>
                </c:pt>
                <c:pt idx="117">
                  <c:v>0.33665423987066573</c:v>
                </c:pt>
                <c:pt idx="118">
                  <c:v>0.33038014639924507</c:v>
                </c:pt>
                <c:pt idx="119">
                  <c:v>0.3239228937376491</c:v>
                </c:pt>
                <c:pt idx="120">
                  <c:v>0.3172772493055992</c:v>
                </c:pt>
                <c:pt idx="121">
                  <c:v>0.31043784522916579</c:v>
                </c:pt>
                <c:pt idx="122">
                  <c:v>0.30472473588165999</c:v>
                </c:pt>
                <c:pt idx="123">
                  <c:v>0.2988766099320237</c:v>
                </c:pt>
                <c:pt idx="124">
                  <c:v>0.29289037260587614</c:v>
                </c:pt>
                <c:pt idx="125">
                  <c:v>0.28676286882549273</c:v>
                </c:pt>
                <c:pt idx="126">
                  <c:v>0.28049088354954743</c:v>
                </c:pt>
                <c:pt idx="127">
                  <c:v>0.27407114242407199</c:v>
                </c:pt>
                <c:pt idx="128">
                  <c:v>0.2687208859360663</c:v>
                </c:pt>
                <c:pt idx="129">
                  <c:v>0.26326819012969693</c:v>
                </c:pt>
                <c:pt idx="130">
                  <c:v>0.25771119167345591</c:v>
                </c:pt>
                <c:pt idx="131">
                  <c:v>0.25204800362261615</c:v>
                </c:pt>
                <c:pt idx="132">
                  <c:v>0.24627671655240158</c:v>
                </c:pt>
                <c:pt idx="133">
                  <c:v>0.24039539997602544</c:v>
                </c:pt>
                <c:pt idx="134">
                  <c:v>0.2354259873424297</c:v>
                </c:pt>
                <c:pt idx="135">
                  <c:v>0.2303782151734019</c:v>
                </c:pt>
                <c:pt idx="136">
                  <c:v>0.22525095034922479</c:v>
                </c:pt>
                <c:pt idx="137">
                  <c:v>0.22004305378839101</c:v>
                </c:pt>
                <c:pt idx="138">
                  <c:v>0.21475338187919624</c:v>
                </c:pt>
                <c:pt idx="139">
                  <c:v>0.20938078818341965</c:v>
                </c:pt>
                <c:pt idx="140">
                  <c:v>0.20392412545300487</c:v>
                </c:pt>
                <c:pt idx="141">
                  <c:v>0.1994309341980729</c:v>
                </c:pt>
                <c:pt idx="142">
                  <c:v>0.1948809521416848</c:v>
                </c:pt>
                <c:pt idx="143">
                  <c:v>0.19027357112334067</c:v>
                </c:pt>
                <c:pt idx="144">
                  <c:v>0.18560818744056071</c:v>
                </c:pt>
                <c:pt idx="145">
                  <c:v>0.18088420344128661</c:v>
                </c:pt>
                <c:pt idx="146">
                  <c:v>0.17610102938859465</c:v>
                </c:pt>
                <c:pt idx="147">
                  <c:v>0.1712580856362334</c:v>
                </c:pt>
                <c:pt idx="148">
                  <c:v>0.16727521557043717</c:v>
                </c:pt>
                <c:pt idx="149">
                  <c:v>0.16325214479876834</c:v>
                </c:pt>
                <c:pt idx="150">
                  <c:v>0.15918858393070232</c:v>
                </c:pt>
                <c:pt idx="151">
                  <c:v>0.15508425307250512</c:v>
                </c:pt>
                <c:pt idx="152">
                  <c:v>0.15093888348225704</c:v>
                </c:pt>
                <c:pt idx="153">
                  <c:v>0.14675221949732342</c:v>
                </c:pt>
                <c:pt idx="154">
                  <c:v>0.14252402077304555</c:v>
                </c:pt>
                <c:pt idx="155">
                  <c:v>0.13905550440950254</c:v>
                </c:pt>
                <c:pt idx="156">
                  <c:v>0.13555927440047918</c:v>
                </c:pt>
                <c:pt idx="157">
                  <c:v>0.13203523171695045</c:v>
                </c:pt>
                <c:pt idx="158">
                  <c:v>0.12848328920474766</c:v>
                </c:pt>
                <c:pt idx="159">
                  <c:v>0.12490337326166612</c:v>
                </c:pt>
                <c:pt idx="160">
                  <c:v>0.12129542578729259</c:v>
                </c:pt>
                <c:pt idx="161">
                  <c:v>0.11765940644436028</c:v>
                </c:pt>
                <c:pt idx="162">
                  <c:v>0.11468290223721907</c:v>
                </c:pt>
                <c:pt idx="163">
                  <c:v>0.11168783384168456</c:v>
                </c:pt>
                <c:pt idx="164">
                  <c:v>0.10867421335582332</c:v>
                </c:pt>
                <c:pt idx="165">
                  <c:v>0.10564206585034051</c:v>
                </c:pt>
                <c:pt idx="166">
                  <c:v>0.10259143105355996</c:v>
                </c:pt>
                <c:pt idx="167">
                  <c:v>9.9522365309263353E-2</c:v>
                </c:pt>
                <c:pt idx="168">
                  <c:v>9.6434943846136642E-2</c:v>
                </c:pt>
                <c:pt idx="169">
                  <c:v>9.3911615121448064E-2</c:v>
                </c:pt>
                <c:pt idx="170">
                  <c:v>9.1376283098819677E-2</c:v>
                </c:pt>
                <c:pt idx="171">
                  <c:v>8.8829023623909972E-2</c:v>
                </c:pt>
                <c:pt idx="172">
                  <c:v>8.6269926018191112E-2</c:v>
                </c:pt>
                <c:pt idx="173">
                  <c:v>8.3699094766475232E-2</c:v>
                </c:pt>
                <c:pt idx="174">
                  <c:v>8.1116651476910676E-2</c:v>
                </c:pt>
                <c:pt idx="175">
                  <c:v>7.8522737151906066E-2</c:v>
                </c:pt>
                <c:pt idx="176">
                  <c:v>7.6404650985066755E-2</c:v>
                </c:pt>
                <c:pt idx="177">
                  <c:v>7.4279183637111459E-2</c:v>
                </c:pt>
                <c:pt idx="178">
                  <c:v>7.2146447210966552E-2</c:v>
                </c:pt>
                <c:pt idx="179">
                  <c:v>7.0006567533311373E-2</c:v>
                </c:pt>
                <c:pt idx="180">
                  <c:v>6.7859685843052506E-2</c:v>
                </c:pt>
                <c:pt idx="181">
                  <c:v>6.570596075117148E-2</c:v>
                </c:pt>
                <c:pt idx="182">
                  <c:v>6.3545570509849714E-2</c:v>
                </c:pt>
                <c:pt idx="183">
                  <c:v>6.1781663355746759E-2</c:v>
                </c:pt>
                <c:pt idx="184">
                  <c:v>6.001359006079552E-2</c:v>
                </c:pt>
                <c:pt idx="185">
                  <c:v>5.8241483586398579E-2</c:v>
                </c:pt>
                <c:pt idx="186">
                  <c:v>5.6465490775850065E-2</c:v>
                </c:pt>
                <c:pt idx="187">
                  <c:v>5.4685774043622092E-2</c:v>
                </c:pt>
                <c:pt idx="188">
                  <c:v>5.2902513334063948E-2</c:v>
                </c:pt>
                <c:pt idx="189">
                  <c:v>5.111590838654511E-2</c:v>
                </c:pt>
                <c:pt idx="190">
                  <c:v>4.9656043543439984E-2</c:v>
                </c:pt>
                <c:pt idx="191">
                  <c:v>4.81942333392558E-2</c:v>
                </c:pt>
                <c:pt idx="192">
                  <c:v>4.6730623399191401E-2</c:v>
                </c:pt>
                <c:pt idx="193">
                  <c:v>4.526537338217989E-2</c:v>
                </c:pt>
                <c:pt idx="194">
                  <c:v>4.3798658671523348E-2</c:v>
                </c:pt>
                <c:pt idx="195">
                  <c:v>4.2330672331907716E-2</c:v>
                </c:pt>
                <c:pt idx="196">
                  <c:v>4.0861627368558653E-2</c:v>
                </c:pt>
                <c:pt idx="197">
                  <c:v>3.9659047982763422E-2</c:v>
                </c:pt>
                <c:pt idx="198">
                  <c:v>3.8456058747678878E-2</c:v>
                </c:pt>
                <c:pt idx="199">
                  <c:v>3.7252814056224923E-2</c:v>
                </c:pt>
                <c:pt idx="200">
                  <c:v>3.6049482529936581E-2</c:v>
                </c:pt>
                <c:pt idx="201">
                  <c:v>3.4846248711945832E-2</c:v>
                </c:pt>
                <c:pt idx="202">
                  <c:v>3.3643315021909814E-2</c:v>
                </c:pt>
                <c:pt idx="203">
                  <c:v>3.2440904006851387E-2</c:v>
                </c:pt>
                <c:pt idx="204">
                  <c:v>3.145346677671889E-2</c:v>
                </c:pt>
                <c:pt idx="205">
                  <c:v>3.0466696482947427E-2</c:v>
                </c:pt>
                <c:pt idx="206">
                  <c:v>2.9480755099536082E-2</c:v>
                </c:pt>
                <c:pt idx="207">
                  <c:v>2.8495819109386599E-2</c:v>
                </c:pt>
                <c:pt idx="208">
                  <c:v>2.7512081201215885E-2</c:v>
                </c:pt>
                <c:pt idx="209">
                  <c:v>2.6529752222023684E-2</c:v>
                </c:pt>
                <c:pt idx="210">
                  <c:v>2.5549063416549531E-2</c:v>
                </c:pt>
                <c:pt idx="211">
                  <c:v>2.473960538453784E-2</c:v>
                </c:pt>
                <c:pt idx="212">
                  <c:v>2.3931598973139557E-2</c:v>
                </c:pt>
                <c:pt idx="213">
                  <c:v>2.312521459545059E-2</c:v>
                </c:pt>
                <c:pt idx="214">
                  <c:v>2.2320637596538604E-2</c:v>
                </c:pt>
                <c:pt idx="215">
                  <c:v>2.1518069956921685E-2</c:v>
                </c:pt>
                <c:pt idx="216">
                  <c:v>2.0717732242244713E-2</c:v>
                </c:pt>
                <c:pt idx="217">
                  <c:v>1.9919865826937187E-2</c:v>
                </c:pt>
                <c:pt idx="218">
                  <c:v>1.9124735436643735E-2</c:v>
                </c:pt>
                <c:pt idx="219">
                  <c:v>1.8482018751138724E-2</c:v>
                </c:pt>
                <c:pt idx="220">
                  <c:v>1.784146231782776E-2</c:v>
                </c:pt>
                <c:pt idx="221">
                  <c:v>1.7203249737527324E-2</c:v>
                </c:pt>
                <c:pt idx="222">
                  <c:v>1.6567580276572322E-2</c:v>
                </c:pt>
                <c:pt idx="223">
                  <c:v>1.593467057318277E-2</c:v>
                </c:pt>
                <c:pt idx="224">
                  <c:v>1.5304756573096056E-2</c:v>
                </c:pt>
                <c:pt idx="225">
                  <c:v>1.4678095711976218E-2</c:v>
                </c:pt>
                <c:pt idx="226">
                  <c:v>1.4054969378237839E-2</c:v>
                </c:pt>
                <c:pt idx="227">
                  <c:v>1.353940394830928E-2</c:v>
                </c:pt>
                <c:pt idx="228">
                  <c:v>1.3026691485052991E-2</c:v>
                </c:pt>
                <c:pt idx="229">
                  <c:v>1.2517040870943892E-2</c:v>
                </c:pt>
                <c:pt idx="230">
                  <c:v>1.2010678293146764E-2</c:v>
                </c:pt>
                <c:pt idx="231">
                  <c:v>1.1507848985756904E-2</c:v>
                </c:pt>
                <c:pt idx="232">
                  <c:v>1.1008819168738681E-2</c:v>
                </c:pt>
                <c:pt idx="233">
                  <c:v>1.0513878189236608E-2</c:v>
                </c:pt>
                <c:pt idx="234">
                  <c:v>1.0023340879889736E-2</c:v>
                </c:pt>
                <c:pt idx="235">
                  <c:v>9.5375501539016073E-3</c:v>
                </c:pt>
                <c:pt idx="236">
                  <c:v>9.0568798512955292E-3</c:v>
                </c:pt>
                <c:pt idx="237">
                  <c:v>8.5817378403978111E-3</c:v>
                </c:pt>
                <c:pt idx="238">
                  <c:v>8.1125693676766582E-3</c:v>
                </c:pt>
                <c:pt idx="239">
                  <c:v>7.6498606354823287E-3</c:v>
                </c:pt>
                <c:pt idx="240">
                  <c:v>7.194142565882993E-3</c:v>
                </c:pt>
                <c:pt idx="241">
                  <c:v>6.7459946759789681E-3</c:v>
                </c:pt>
                <c:pt idx="242">
                  <c:v>6.3060489435067908E-3</c:v>
                </c:pt>
                <c:pt idx="243">
                  <c:v>5.8404530790445502E-3</c:v>
                </c:pt>
                <c:pt idx="244">
                  <c:v>5.5054129606898804E-3</c:v>
                </c:pt>
                <c:pt idx="245">
                  <c:v>5.176902028917984E-3</c:v>
                </c:pt>
                <c:pt idx="246">
                  <c:v>4.8553505538343296E-3</c:v>
                </c:pt>
                <c:pt idx="247">
                  <c:v>4.541213699128255E-3</c:v>
                </c:pt>
                <c:pt idx="248">
                  <c:v>4.3116476312878103E-3</c:v>
                </c:pt>
                <c:pt idx="249">
                  <c:v>4.0866952332137335E-3</c:v>
                </c:pt>
                <c:pt idx="250">
                  <c:v>3.9085254101918878E-3</c:v>
                </c:pt>
                <c:pt idx="251">
                  <c:v>3.7336206668135588E-3</c:v>
                </c:pt>
                <c:pt idx="252">
                  <c:v>3.5620987317315608E-3</c:v>
                </c:pt>
                <c:pt idx="253">
                  <c:v>3.3940789141758245E-3</c:v>
                </c:pt>
                <c:pt idx="254">
                  <c:v>3.2598183016435897E-3</c:v>
                </c:pt>
                <c:pt idx="255">
                  <c:v>3.1280291355903524E-3</c:v>
                </c:pt>
                <c:pt idx="256">
                  <c:v>2.9987767057973258E-3</c:v>
                </c:pt>
                <c:pt idx="257">
                  <c:v>2.8721259495279902E-3</c:v>
                </c:pt>
                <c:pt idx="258">
                  <c:v>2.7481411222138818E-3</c:v>
                </c:pt>
                <c:pt idx="259">
                  <c:v>2.6268854277444829E-3</c:v>
                </c:pt>
                <c:pt idx="260">
                  <c:v>2.5067395773082845E-3</c:v>
                </c:pt>
                <c:pt idx="261">
                  <c:v>2.3895279116249294E-3</c:v>
                </c:pt>
                <c:pt idx="262">
                  <c:v>2.2753104847634226E-3</c:v>
                </c:pt>
                <c:pt idx="263">
                  <c:v>2.1641443930079402E-3</c:v>
                </c:pt>
                <c:pt idx="264">
                  <c:v>2.0560832439664787E-3</c:v>
                </c:pt>
                <c:pt idx="265">
                  <c:v>1.9511765916834399E-3</c:v>
                </c:pt>
                <c:pt idx="266">
                  <c:v>1.8494693573987587E-3</c:v>
                </c:pt>
                <c:pt idx="267">
                  <c:v>1.7119125514805315E-3</c:v>
                </c:pt>
                <c:pt idx="268">
                  <c:v>1.5808529201238575E-3</c:v>
                </c:pt>
                <c:pt idx="269">
                  <c:v>1.4563556125911951E-3</c:v>
                </c:pt>
                <c:pt idx="270">
                  <c:v>1.3384573858659342E-3</c:v>
                </c:pt>
                <c:pt idx="271">
                  <c:v>1.2482912685820749E-3</c:v>
                </c:pt>
                <c:pt idx="272">
                  <c:v>1.1623994107447921E-3</c:v>
                </c:pt>
                <c:pt idx="273">
                  <c:v>1.0807554699736694E-3</c:v>
                </c:pt>
                <c:pt idx="274">
                  <c:v>1.0033187051601488E-3</c:v>
                </c:pt>
                <c:pt idx="275">
                  <c:v>9.3003397717599076E-4</c:v>
                </c:pt>
                <c:pt idx="276">
                  <c:v>8.6083199429719541E-4</c:v>
                </c:pt>
                <c:pt idx="277">
                  <c:v>7.9562979042267995E-4</c:v>
                </c:pt>
                <c:pt idx="278">
                  <c:v>7.3433142768893653E-4</c:v>
                </c:pt>
                <c:pt idx="279">
                  <c:v>6.7682891542526812E-4</c:v>
                </c:pt>
                <c:pt idx="280">
                  <c:v>6.2300332650965114E-4</c:v>
                </c:pt>
                <c:pt idx="281">
                  <c:v>5.7272607910206731E-4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625-4563-91EC-8EF600881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84240"/>
        <c:axId val="688278336"/>
      </c:scatterChart>
      <c:scatterChart>
        <c:scatterStyle val="lineMarker"/>
        <c:varyColors val="0"/>
        <c:ser>
          <c:idx val="0"/>
          <c:order val="5"/>
          <c:tx>
            <c:strRef>
              <c:f>'Figure 3'!$H$21</c:f>
              <c:strCache>
                <c:ptCount val="1"/>
                <c:pt idx="0">
                  <c:v>glucose inhibited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'Figure 3'!$F$24:$F$249</c:f>
              <c:numCache>
                <c:formatCode>General</c:formatCode>
                <c:ptCount val="226"/>
                <c:pt idx="0">
                  <c:v>0</c:v>
                </c:pt>
                <c:pt idx="1">
                  <c:v>3.1437518189920857E-4</c:v>
                </c:pt>
                <c:pt idx="2">
                  <c:v>6.2875036379841714E-4</c:v>
                </c:pt>
                <c:pt idx="3">
                  <c:v>9.4312554569762571E-4</c:v>
                </c:pt>
                <c:pt idx="4">
                  <c:v>2.3115212195532068E-3</c:v>
                </c:pt>
                <c:pt idx="5">
                  <c:v>3.679916893408788E-3</c:v>
                </c:pt>
                <c:pt idx="6">
                  <c:v>5.0483125672643693E-3</c:v>
                </c:pt>
                <c:pt idx="7">
                  <c:v>6.4167082411199505E-3</c:v>
                </c:pt>
                <c:pt idx="8">
                  <c:v>1.0332359283636895E-2</c:v>
                </c:pt>
                <c:pt idx="9">
                  <c:v>1.4248010326153839E-2</c:v>
                </c:pt>
                <c:pt idx="10">
                  <c:v>1.8163661368670782E-2</c:v>
                </c:pt>
                <c:pt idx="11">
                  <c:v>2.2079312411187726E-2</c:v>
                </c:pt>
                <c:pt idx="12">
                  <c:v>4.1895969148116413E-2</c:v>
                </c:pt>
                <c:pt idx="13">
                  <c:v>6.17126258850451E-2</c:v>
                </c:pt>
                <c:pt idx="14">
                  <c:v>8.1529282621973787E-2</c:v>
                </c:pt>
                <c:pt idx="15">
                  <c:v>0.10134593935890247</c:v>
                </c:pt>
                <c:pt idx="16">
                  <c:v>0.12116259609583116</c:v>
                </c:pt>
                <c:pt idx="17">
                  <c:v>0.17449220354376152</c:v>
                </c:pt>
                <c:pt idx="18">
                  <c:v>0.22782181099169188</c:v>
                </c:pt>
                <c:pt idx="19">
                  <c:v>0.28115141843962221</c:v>
                </c:pt>
                <c:pt idx="20">
                  <c:v>0.33448102588755257</c:v>
                </c:pt>
                <c:pt idx="21">
                  <c:v>0.38781063333548293</c:v>
                </c:pt>
                <c:pt idx="22">
                  <c:v>0.4411402407834133</c:v>
                </c:pt>
                <c:pt idx="23">
                  <c:v>0.52448047621738592</c:v>
                </c:pt>
                <c:pt idx="24">
                  <c:v>0.60782071165135854</c:v>
                </c:pt>
                <c:pt idx="25">
                  <c:v>0.69116094708533116</c:v>
                </c:pt>
                <c:pt idx="26">
                  <c:v>0.77450118251930378</c:v>
                </c:pt>
                <c:pt idx="27">
                  <c:v>0.8578414179532764</c:v>
                </c:pt>
                <c:pt idx="28">
                  <c:v>0.94118165338724902</c:v>
                </c:pt>
                <c:pt idx="29">
                  <c:v>1.0245218888212215</c:v>
                </c:pt>
                <c:pt idx="30">
                  <c:v>1.1394164823405928</c:v>
                </c:pt>
                <c:pt idx="31">
                  <c:v>1.254311075859964</c:v>
                </c:pt>
                <c:pt idx="32">
                  <c:v>1.3692056693793353</c:v>
                </c:pt>
                <c:pt idx="33">
                  <c:v>1.4841002628987066</c:v>
                </c:pt>
                <c:pt idx="34">
                  <c:v>1.5989948564180778</c:v>
                </c:pt>
                <c:pt idx="35">
                  <c:v>1.7138894499374491</c:v>
                </c:pt>
                <c:pt idx="36">
                  <c:v>1.8287840434568203</c:v>
                </c:pt>
                <c:pt idx="37">
                  <c:v>1.9441112116427992</c:v>
                </c:pt>
                <c:pt idx="38">
                  <c:v>2.0594383798287783</c:v>
                </c:pt>
                <c:pt idx="39">
                  <c:v>2.1747655480147574</c:v>
                </c:pt>
                <c:pt idx="40">
                  <c:v>2.2900927162007365</c:v>
                </c:pt>
                <c:pt idx="41">
                  <c:v>2.4054198843867156</c:v>
                </c:pt>
                <c:pt idx="42">
                  <c:v>2.5207470525726947</c:v>
                </c:pt>
                <c:pt idx="43">
                  <c:v>2.6360742207586738</c:v>
                </c:pt>
                <c:pt idx="44">
                  <c:v>2.7514013889446529</c:v>
                </c:pt>
                <c:pt idx="45">
                  <c:v>2.866728557130632</c:v>
                </c:pt>
                <c:pt idx="46">
                  <c:v>2.9820557253166111</c:v>
                </c:pt>
                <c:pt idx="47">
                  <c:v>3.0973828935025902</c:v>
                </c:pt>
                <c:pt idx="48">
                  <c:v>3.2127100616885693</c:v>
                </c:pt>
                <c:pt idx="49">
                  <c:v>3.3284550080286519</c:v>
                </c:pt>
                <c:pt idx="50">
                  <c:v>3.4441999543687345</c:v>
                </c:pt>
                <c:pt idx="51">
                  <c:v>3.5599449007088171</c:v>
                </c:pt>
                <c:pt idx="52">
                  <c:v>3.6756898470488997</c:v>
                </c:pt>
                <c:pt idx="53">
                  <c:v>3.7914347933889823</c:v>
                </c:pt>
                <c:pt idx="54">
                  <c:v>3.9071797397290648</c:v>
                </c:pt>
                <c:pt idx="55">
                  <c:v>4.022924686069147</c:v>
                </c:pt>
                <c:pt idx="56">
                  <c:v>4.1712117916331595</c:v>
                </c:pt>
                <c:pt idx="57">
                  <c:v>4.3194988971971719</c:v>
                </c:pt>
                <c:pt idx="58">
                  <c:v>4.4677860027611844</c:v>
                </c:pt>
                <c:pt idx="59">
                  <c:v>4.5864596279384342</c:v>
                </c:pt>
                <c:pt idx="60">
                  <c:v>4.705133253115684</c:v>
                </c:pt>
                <c:pt idx="61">
                  <c:v>4.8238068782929338</c:v>
                </c:pt>
                <c:pt idx="62">
                  <c:v>4.9424805034701835</c:v>
                </c:pt>
                <c:pt idx="63">
                  <c:v>5.0392778915193395</c:v>
                </c:pt>
                <c:pt idx="64">
                  <c:v>5.1360752795684954</c:v>
                </c:pt>
                <c:pt idx="65">
                  <c:v>5.2328726676176514</c:v>
                </c:pt>
                <c:pt idx="66">
                  <c:v>5.3296700556668073</c:v>
                </c:pt>
                <c:pt idx="67">
                  <c:v>5.4264674437159632</c:v>
                </c:pt>
                <c:pt idx="68">
                  <c:v>5.5232648317651192</c:v>
                </c:pt>
                <c:pt idx="69">
                  <c:v>5.6200622198142751</c:v>
                </c:pt>
                <c:pt idx="70">
                  <c:v>5.7168596078634311</c:v>
                </c:pt>
                <c:pt idx="71">
                  <c:v>5.813656995912587</c:v>
                </c:pt>
                <c:pt idx="72">
                  <c:v>5.8938336417946022</c:v>
                </c:pt>
                <c:pt idx="73">
                  <c:v>5.9740102876766175</c:v>
                </c:pt>
                <c:pt idx="74">
                  <c:v>6.0541869335586327</c:v>
                </c:pt>
                <c:pt idx="75">
                  <c:v>6.1343635794406479</c:v>
                </c:pt>
                <c:pt idx="76">
                  <c:v>6.2145402253226631</c:v>
                </c:pt>
                <c:pt idx="77">
                  <c:v>6.2947168712046784</c:v>
                </c:pt>
                <c:pt idx="78">
                  <c:v>6.3748935170866936</c:v>
                </c:pt>
                <c:pt idx="79">
                  <c:v>6.4550701629687088</c:v>
                </c:pt>
                <c:pt idx="80">
                  <c:v>6.5352468088507241</c:v>
                </c:pt>
                <c:pt idx="81">
                  <c:v>6.6154234547327393</c:v>
                </c:pt>
                <c:pt idx="82">
                  <c:v>6.6956001006147545</c:v>
                </c:pt>
                <c:pt idx="83">
                  <c:v>6.7757767464967698</c:v>
                </c:pt>
                <c:pt idx="84">
                  <c:v>6.855953392378785</c:v>
                </c:pt>
                <c:pt idx="85">
                  <c:v>6.9361300382608002</c:v>
                </c:pt>
                <c:pt idx="86">
                  <c:v>7.0163066841428154</c:v>
                </c:pt>
                <c:pt idx="87">
                  <c:v>7.0964833300248307</c:v>
                </c:pt>
                <c:pt idx="88">
                  <c:v>7.1766599759068459</c:v>
                </c:pt>
                <c:pt idx="89">
                  <c:v>7.2568366217888611</c:v>
                </c:pt>
                <c:pt idx="90">
                  <c:v>7.3370132676708764</c:v>
                </c:pt>
                <c:pt idx="91">
                  <c:v>7.4171899135528916</c:v>
                </c:pt>
                <c:pt idx="92">
                  <c:v>7.4973665594349068</c:v>
                </c:pt>
                <c:pt idx="93">
                  <c:v>7.577543205316922</c:v>
                </c:pt>
                <c:pt idx="94">
                  <c:v>7.6577198511989373</c:v>
                </c:pt>
                <c:pt idx="95">
                  <c:v>7.7243795305053329</c:v>
                </c:pt>
                <c:pt idx="96">
                  <c:v>7.7910392098117285</c:v>
                </c:pt>
                <c:pt idx="97">
                  <c:v>7.8576988891181241</c:v>
                </c:pt>
                <c:pt idx="98">
                  <c:v>7.9243585684245197</c:v>
                </c:pt>
                <c:pt idx="99">
                  <c:v>7.9910182477309153</c:v>
                </c:pt>
                <c:pt idx="100">
                  <c:v>8.0576779270373109</c:v>
                </c:pt>
                <c:pt idx="101">
                  <c:v>8.1243376063437065</c:v>
                </c:pt>
                <c:pt idx="102">
                  <c:v>8.1918603088993294</c:v>
                </c:pt>
                <c:pt idx="103">
                  <c:v>8.2593830114549522</c:v>
                </c:pt>
                <c:pt idx="104">
                  <c:v>8.3269057140105751</c:v>
                </c:pt>
                <c:pt idx="105">
                  <c:v>8.394428416566198</c:v>
                </c:pt>
                <c:pt idx="106">
                  <c:v>8.4619511191218209</c:v>
                </c:pt>
                <c:pt idx="107">
                  <c:v>8.5294738216774437</c:v>
                </c:pt>
                <c:pt idx="108">
                  <c:v>8.5969965242330666</c:v>
                </c:pt>
                <c:pt idx="109">
                  <c:v>8.6680715455718698</c:v>
                </c:pt>
                <c:pt idx="110">
                  <c:v>8.7391465669106729</c:v>
                </c:pt>
                <c:pt idx="111">
                  <c:v>8.8102215882494761</c:v>
                </c:pt>
                <c:pt idx="112">
                  <c:v>8.8812966095882793</c:v>
                </c:pt>
                <c:pt idx="113">
                  <c:v>8.9523716309270824</c:v>
                </c:pt>
                <c:pt idx="114">
                  <c:v>9.0234466522658856</c:v>
                </c:pt>
                <c:pt idx="115">
                  <c:v>9.0945216736046888</c:v>
                </c:pt>
                <c:pt idx="116">
                  <c:v>9.1973646631275692</c:v>
                </c:pt>
                <c:pt idx="117">
                  <c:v>9.3002076526504496</c:v>
                </c:pt>
                <c:pt idx="118">
                  <c:v>9.3803200521905499</c:v>
                </c:pt>
                <c:pt idx="119">
                  <c:v>9.4604324517306502</c:v>
                </c:pt>
                <c:pt idx="120">
                  <c:v>9.5405448512707505</c:v>
                </c:pt>
                <c:pt idx="121">
                  <c:v>9.6206572508108508</c:v>
                </c:pt>
                <c:pt idx="122">
                  <c:v>9.6860053457979216</c:v>
                </c:pt>
                <c:pt idx="123">
                  <c:v>9.7513534407849924</c:v>
                </c:pt>
                <c:pt idx="124">
                  <c:v>9.8167015357720633</c:v>
                </c:pt>
                <c:pt idx="125">
                  <c:v>9.8820496307591341</c:v>
                </c:pt>
                <c:pt idx="126">
                  <c:v>9.947397725746205</c:v>
                </c:pt>
                <c:pt idx="127">
                  <c:v>10.012745820733276</c:v>
                </c:pt>
                <c:pt idx="128">
                  <c:v>10.078093915720347</c:v>
                </c:pt>
                <c:pt idx="129">
                  <c:v>10.143442010707417</c:v>
                </c:pt>
                <c:pt idx="130">
                  <c:v>10.208790105694488</c:v>
                </c:pt>
                <c:pt idx="131">
                  <c:v>10.274138200681559</c:v>
                </c:pt>
                <c:pt idx="132">
                  <c:v>10.33948629566863</c:v>
                </c:pt>
                <c:pt idx="133">
                  <c:v>10.404834390655701</c:v>
                </c:pt>
                <c:pt idx="134">
                  <c:v>10.470182485642772</c:v>
                </c:pt>
                <c:pt idx="135">
                  <c:v>10.535530580629842</c:v>
                </c:pt>
                <c:pt idx="136">
                  <c:v>10.600878675616913</c:v>
                </c:pt>
                <c:pt idx="137">
                  <c:v>10.667364677882246</c:v>
                </c:pt>
                <c:pt idx="138">
                  <c:v>10.733850680147578</c:v>
                </c:pt>
                <c:pt idx="139">
                  <c:v>10.80033668241291</c:v>
                </c:pt>
                <c:pt idx="140">
                  <c:v>10.866822684678242</c:v>
                </c:pt>
                <c:pt idx="141">
                  <c:v>10.933308686943574</c:v>
                </c:pt>
                <c:pt idx="142">
                  <c:v>10.985879618267083</c:v>
                </c:pt>
                <c:pt idx="143">
                  <c:v>11.038450549590591</c:v>
                </c:pt>
                <c:pt idx="144">
                  <c:v>11.091021480914099</c:v>
                </c:pt>
                <c:pt idx="145">
                  <c:v>11.143592412237608</c:v>
                </c:pt>
                <c:pt idx="146">
                  <c:v>11.186203728050643</c:v>
                </c:pt>
                <c:pt idx="147">
                  <c:v>11.228815043863678</c:v>
                </c:pt>
                <c:pt idx="148">
                  <c:v>11.271426359676713</c:v>
                </c:pt>
                <c:pt idx="149">
                  <c:v>11.314037675489748</c:v>
                </c:pt>
                <c:pt idx="150">
                  <c:v>11.356648991302784</c:v>
                </c:pt>
                <c:pt idx="151">
                  <c:v>11.399260307115819</c:v>
                </c:pt>
                <c:pt idx="152">
                  <c:v>11.433994938964171</c:v>
                </c:pt>
                <c:pt idx="153">
                  <c:v>11.468729570812522</c:v>
                </c:pt>
                <c:pt idx="154">
                  <c:v>11.503464202660874</c:v>
                </c:pt>
                <c:pt idx="155">
                  <c:v>11.538198834509226</c:v>
                </c:pt>
                <c:pt idx="156">
                  <c:v>11.572933466357577</c:v>
                </c:pt>
                <c:pt idx="157">
                  <c:v>11.607668098205929</c:v>
                </c:pt>
                <c:pt idx="158">
                  <c:v>11.636475737625119</c:v>
                </c:pt>
                <c:pt idx="159">
                  <c:v>11.665283377044309</c:v>
                </c:pt>
                <c:pt idx="160">
                  <c:v>11.694091016463499</c:v>
                </c:pt>
                <c:pt idx="161">
                  <c:v>11.722898655882689</c:v>
                </c:pt>
                <c:pt idx="162">
                  <c:v>11.751706295301879</c:v>
                </c:pt>
                <c:pt idx="163">
                  <c:v>11.780513934721069</c:v>
                </c:pt>
                <c:pt idx="164">
                  <c:v>11.80932157414026</c:v>
                </c:pt>
                <c:pt idx="165">
                  <c:v>11.83265817702207</c:v>
                </c:pt>
                <c:pt idx="166">
                  <c:v>11.855994779903881</c:v>
                </c:pt>
                <c:pt idx="167">
                  <c:v>11.879331382785692</c:v>
                </c:pt>
                <c:pt idx="168">
                  <c:v>11.902667985667502</c:v>
                </c:pt>
                <c:pt idx="169">
                  <c:v>11.926004588549313</c:v>
                </c:pt>
                <c:pt idx="170">
                  <c:v>11.949341191431124</c:v>
                </c:pt>
                <c:pt idx="171">
                  <c:v>11.972677794312935</c:v>
                </c:pt>
                <c:pt idx="172">
                  <c:v>11.991621577873509</c:v>
                </c:pt>
                <c:pt idx="173">
                  <c:v>12.010565361434084</c:v>
                </c:pt>
                <c:pt idx="174">
                  <c:v>12.029509144994659</c:v>
                </c:pt>
                <c:pt idx="175">
                  <c:v>12.048452928555234</c:v>
                </c:pt>
                <c:pt idx="176">
                  <c:v>12.067396712115809</c:v>
                </c:pt>
                <c:pt idx="177">
                  <c:v>12.086340495676383</c:v>
                </c:pt>
                <c:pt idx="178">
                  <c:v>12.105284279236958</c:v>
                </c:pt>
                <c:pt idx="179">
                  <c:v>12.120695723184911</c:v>
                </c:pt>
                <c:pt idx="180">
                  <c:v>12.136107167132863</c:v>
                </c:pt>
                <c:pt idx="181">
                  <c:v>12.151518611080816</c:v>
                </c:pt>
                <c:pt idx="182">
                  <c:v>12.166930055028768</c:v>
                </c:pt>
                <c:pt idx="183">
                  <c:v>12.18234149897672</c:v>
                </c:pt>
                <c:pt idx="184">
                  <c:v>12.197752942924673</c:v>
                </c:pt>
                <c:pt idx="185">
                  <c:v>12.213164386872625</c:v>
                </c:pt>
                <c:pt idx="186">
                  <c:v>12.225742639980151</c:v>
                </c:pt>
                <c:pt idx="187">
                  <c:v>12.238320893087677</c:v>
                </c:pt>
                <c:pt idx="188">
                  <c:v>12.250899146195202</c:v>
                </c:pt>
                <c:pt idx="189">
                  <c:v>12.263477399302728</c:v>
                </c:pt>
                <c:pt idx="190">
                  <c:v>12.276055652410253</c:v>
                </c:pt>
                <c:pt idx="191">
                  <c:v>12.288633905517779</c:v>
                </c:pt>
                <c:pt idx="192">
                  <c:v>12.301212158625304</c:v>
                </c:pt>
                <c:pt idx="193">
                  <c:v>12.311522467751955</c:v>
                </c:pt>
                <c:pt idx="194">
                  <c:v>12.321832776878605</c:v>
                </c:pt>
                <c:pt idx="195">
                  <c:v>12.332143086005255</c:v>
                </c:pt>
                <c:pt idx="196">
                  <c:v>12.342453395131905</c:v>
                </c:pt>
                <c:pt idx="197">
                  <c:v>12.352763704258555</c:v>
                </c:pt>
                <c:pt idx="198">
                  <c:v>12.363074013385205</c:v>
                </c:pt>
                <c:pt idx="199">
                  <c:v>12.373384322511855</c:v>
                </c:pt>
                <c:pt idx="200">
                  <c:v>12.381887144297396</c:v>
                </c:pt>
                <c:pt idx="201">
                  <c:v>12.390389966082937</c:v>
                </c:pt>
                <c:pt idx="202">
                  <c:v>12.398892787868478</c:v>
                </c:pt>
                <c:pt idx="203">
                  <c:v>12.407395609654019</c:v>
                </c:pt>
                <c:pt idx="204">
                  <c:v>12.41589843143956</c:v>
                </c:pt>
                <c:pt idx="205">
                  <c:v>12.424401253225101</c:v>
                </c:pt>
                <c:pt idx="206">
                  <c:v>12.432904075010642</c:v>
                </c:pt>
                <c:pt idx="207">
                  <c:v>12.439979337143663</c:v>
                </c:pt>
                <c:pt idx="208">
                  <c:v>12.447054599276685</c:v>
                </c:pt>
                <c:pt idx="209">
                  <c:v>12.454129861409706</c:v>
                </c:pt>
                <c:pt idx="210">
                  <c:v>12.461205123542728</c:v>
                </c:pt>
                <c:pt idx="211">
                  <c:v>12.468280385675749</c:v>
                </c:pt>
                <c:pt idx="212">
                  <c:v>12.475355647808771</c:v>
                </c:pt>
                <c:pt idx="213">
                  <c:v>12.482430909941792</c:v>
                </c:pt>
                <c:pt idx="214">
                  <c:v>12.489506172074814</c:v>
                </c:pt>
                <c:pt idx="215">
                  <c:v>12.495323254598819</c:v>
                </c:pt>
                <c:pt idx="216">
                  <c:v>12.501140337122825</c:v>
                </c:pt>
                <c:pt idx="217">
                  <c:v>12.506957419646831</c:v>
                </c:pt>
                <c:pt idx="218">
                  <c:v>12.512774502170837</c:v>
                </c:pt>
                <c:pt idx="219">
                  <c:v>12.518591584694843</c:v>
                </c:pt>
                <c:pt idx="220">
                  <c:v>12.524408667218848</c:v>
                </c:pt>
                <c:pt idx="221">
                  <c:v>12.530225749742854</c:v>
                </c:pt>
                <c:pt idx="222">
                  <c:v>12.53604283226686</c:v>
                </c:pt>
                <c:pt idx="223">
                  <c:v>12.541859914790866</c:v>
                </c:pt>
                <c:pt idx="224">
                  <c:v>12.547676997314872</c:v>
                </c:pt>
                <c:pt idx="225">
                  <c:v>12.553494079838877</c:v>
                </c:pt>
              </c:numCache>
            </c:numRef>
          </c:xVal>
          <c:yVal>
            <c:numRef>
              <c:f>'Figure 3'!$H$24:$H$249</c:f>
              <c:numCache>
                <c:formatCode>General</c:formatCode>
                <c:ptCount val="226"/>
                <c:pt idx="0">
                  <c:v>0.54220000000000002</c:v>
                </c:pt>
                <c:pt idx="1">
                  <c:v>0.54219954567284101</c:v>
                </c:pt>
                <c:pt idx="2">
                  <c:v>0.54219909127938259</c:v>
                </c:pt>
                <c:pt idx="3">
                  <c:v>0.54219863681821767</c:v>
                </c:pt>
                <c:pt idx="4">
                  <c:v>0.54219665792738225</c:v>
                </c:pt>
                <c:pt idx="5">
                  <c:v>0.54219467777624186</c:v>
                </c:pt>
                <c:pt idx="6">
                  <c:v>0.54219269634407297</c:v>
                </c:pt>
                <c:pt idx="7">
                  <c:v>0.54219071362300975</c:v>
                </c:pt>
                <c:pt idx="8">
                  <c:v>0.54218503294591469</c:v>
                </c:pt>
                <c:pt idx="9">
                  <c:v>0.54217934167722037</c:v>
                </c:pt>
                <c:pt idx="10">
                  <c:v>0.54217363979754396</c:v>
                </c:pt>
                <c:pt idx="11">
                  <c:v>0.5421679272872898</c:v>
                </c:pt>
                <c:pt idx="12">
                  <c:v>0.54213885319011779</c:v>
                </c:pt>
                <c:pt idx="13">
                  <c:v>0.54210950375004419</c:v>
                </c:pt>
                <c:pt idx="14">
                  <c:v>0.54207987637351962</c:v>
                </c:pt>
                <c:pt idx="15">
                  <c:v>0.54204996844382958</c:v>
                </c:pt>
                <c:pt idx="16">
                  <c:v>0.54201977732171092</c:v>
                </c:pt>
                <c:pt idx="17">
                  <c:v>0.54193710116140359</c:v>
                </c:pt>
                <c:pt idx="18">
                  <c:v>0.54185230186299704</c:v>
                </c:pt>
                <c:pt idx="19">
                  <c:v>0.54176532530461741</c:v>
                </c:pt>
                <c:pt idx="20">
                  <c:v>0.54167611599873844</c:v>
                </c:pt>
                <c:pt idx="21">
                  <c:v>0.54158461706465644</c:v>
                </c:pt>
                <c:pt idx="22">
                  <c:v>0.54149077019806369</c:v>
                </c:pt>
                <c:pt idx="23">
                  <c:v>0.54133926785108366</c:v>
                </c:pt>
                <c:pt idx="24">
                  <c:v>0.54118164965778637</c:v>
                </c:pt>
                <c:pt idx="25">
                  <c:v>0.54101767090486608</c:v>
                </c:pt>
                <c:pt idx="26">
                  <c:v>0.54084707726371473</c:v>
                </c:pt>
                <c:pt idx="27">
                  <c:v>0.54066960443166223</c:v>
                </c:pt>
                <c:pt idx="28">
                  <c:v>0.54048497775794591</c:v>
                </c:pt>
                <c:pt idx="29">
                  <c:v>0.54029291185418782</c:v>
                </c:pt>
                <c:pt idx="30">
                  <c:v>0.54001537878822814</c:v>
                </c:pt>
                <c:pt idx="31">
                  <c:v>0.53972232829822686</c:v>
                </c:pt>
                <c:pt idx="32">
                  <c:v>0.53941290327915892</c:v>
                </c:pt>
                <c:pt idx="33">
                  <c:v>0.53908620049667666</c:v>
                </c:pt>
                <c:pt idx="34">
                  <c:v>0.53874126824135993</c:v>
                </c:pt>
                <c:pt idx="35">
                  <c:v>0.5383771038844084</c:v>
                </c:pt>
                <c:pt idx="36">
                  <c:v>0.53799265132964347</c:v>
                </c:pt>
                <c:pt idx="37">
                  <c:v>0.53758522843570133</c:v>
                </c:pt>
                <c:pt idx="38">
                  <c:v>0.53715505913175265</c:v>
                </c:pt>
                <c:pt idx="39">
                  <c:v>0.53670089619364669</c:v>
                </c:pt>
                <c:pt idx="40">
                  <c:v>0.53622142663243277</c:v>
                </c:pt>
                <c:pt idx="41">
                  <c:v>0.53571526853096707</c:v>
                </c:pt>
                <c:pt idx="42">
                  <c:v>0.53518096776399904</c:v>
                </c:pt>
                <c:pt idx="43">
                  <c:v>0.5346169946018553</c:v>
                </c:pt>
                <c:pt idx="44">
                  <c:v>0.53402174019884496</c:v>
                </c:pt>
                <c:pt idx="45">
                  <c:v>0.53339351296824644</c:v>
                </c:pt>
                <c:pt idx="46">
                  <c:v>0.53273053484648403</c:v>
                </c:pt>
                <c:pt idx="47">
                  <c:v>0.53203093745012109</c:v>
                </c:pt>
                <c:pt idx="48">
                  <c:v>0.53129275813056431</c:v>
                </c:pt>
                <c:pt idx="49">
                  <c:v>0.53051103813530387</c:v>
                </c:pt>
                <c:pt idx="50">
                  <c:v>0.52968619302193953</c:v>
                </c:pt>
                <c:pt idx="51">
                  <c:v>0.52881592739452332</c:v>
                </c:pt>
                <c:pt idx="52">
                  <c:v>0.52789783328954432</c:v>
                </c:pt>
                <c:pt idx="53">
                  <c:v>0.52692938576690407</c:v>
                </c:pt>
                <c:pt idx="54">
                  <c:v>0.52590793846217543</c:v>
                </c:pt>
                <c:pt idx="55">
                  <c:v>0.52483071911892121</c:v>
                </c:pt>
                <c:pt idx="56">
                  <c:v>0.52336448401439628</c:v>
                </c:pt>
                <c:pt idx="57">
                  <c:v>0.52179550263748764</c:v>
                </c:pt>
                <c:pt idx="58">
                  <c:v>0.5201169683004202</c:v>
                </c:pt>
                <c:pt idx="59">
                  <c:v>0.51868989542217392</c:v>
                </c:pt>
                <c:pt idx="60">
                  <c:v>0.51718417597121247</c:v>
                </c:pt>
                <c:pt idx="61">
                  <c:v>0.51559576132251816</c:v>
                </c:pt>
                <c:pt idx="62">
                  <c:v>0.51392042754358336</c:v>
                </c:pt>
                <c:pt idx="63">
                  <c:v>0.51248650780959004</c:v>
                </c:pt>
                <c:pt idx="64">
                  <c:v>0.51098935574317683</c:v>
                </c:pt>
                <c:pt idx="65">
                  <c:v>0.50942641073161754</c:v>
                </c:pt>
                <c:pt idx="66">
                  <c:v>0.50779502963739942</c:v>
                </c:pt>
                <c:pt idx="67">
                  <c:v>0.50609248615602531</c:v>
                </c:pt>
                <c:pt idx="68">
                  <c:v>0.5043159704026754</c:v>
                </c:pt>
                <c:pt idx="69">
                  <c:v>0.50246258874078531</c:v>
                </c:pt>
                <c:pt idx="70">
                  <c:v>0.50052936387701086</c:v>
                </c:pt>
                <c:pt idx="71">
                  <c:v>0.49851323525674851</c:v>
                </c:pt>
                <c:pt idx="72">
                  <c:v>0.49677827465086632</c:v>
                </c:pt>
                <c:pt idx="73">
                  <c:v>0.49498245284856623</c:v>
                </c:pt>
                <c:pt idx="74">
                  <c:v>0.49312390361185598</c:v>
                </c:pt>
                <c:pt idx="75">
                  <c:v>0.4912007236300765</c:v>
                </c:pt>
                <c:pt idx="76">
                  <c:v>0.48921097337406372</c:v>
                </c:pt>
                <c:pt idx="77">
                  <c:v>0.48715267811650254</c:v>
                </c:pt>
                <c:pt idx="78">
                  <c:v>0.48502382911696701</c:v>
                </c:pt>
                <c:pt idx="79">
                  <c:v>0.48282238498036417</c:v>
                </c:pt>
                <c:pt idx="80">
                  <c:v>0.48054627320466586</c:v>
                </c:pt>
                <c:pt idx="81">
                  <c:v>0.47819339193200827</c:v>
                </c:pt>
                <c:pt idx="82">
                  <c:v>0.47576161191303268</c:v>
                </c:pt>
                <c:pt idx="83">
                  <c:v>0.47324877869346521</c:v>
                </c:pt>
                <c:pt idx="84">
                  <c:v>0.47065271503361705</c:v>
                </c:pt>
                <c:pt idx="85">
                  <c:v>0.46797122357255116</c:v>
                </c:pt>
                <c:pt idx="86">
                  <c:v>0.46520208974811939</c:v>
                </c:pt>
                <c:pt idx="87">
                  <c:v>0.46234308498304355</c:v>
                </c:pt>
                <c:pt idx="88">
                  <c:v>0.45939197014666222</c:v>
                </c:pt>
                <c:pt idx="89">
                  <c:v>0.45634649930173893</c:v>
                </c:pt>
                <c:pt idx="90">
                  <c:v>0.45320442374528941</c:v>
                </c:pt>
                <c:pt idx="91">
                  <c:v>0.44996349635155275</c:v>
                </c:pt>
                <c:pt idx="92">
                  <c:v>0.44662147622419568</c:v>
                </c:pt>
                <c:pt idx="93">
                  <c:v>0.44317613366374897</c:v>
                </c:pt>
                <c:pt idx="94">
                  <c:v>0.43962525545510672</c:v>
                </c:pt>
                <c:pt idx="95">
                  <c:v>0.43659109684871417</c:v>
                </c:pt>
                <c:pt idx="96">
                  <c:v>0.43348122759694724</c:v>
                </c:pt>
                <c:pt idx="97">
                  <c:v>0.43029441880258662</c:v>
                </c:pt>
                <c:pt idx="98">
                  <c:v>0.42702946000721215</c:v>
                </c:pt>
                <c:pt idx="99">
                  <c:v>0.42368516188177652</c:v>
                </c:pt>
                <c:pt idx="100">
                  <c:v>0.420260359029826</c:v>
                </c:pt>
                <c:pt idx="101">
                  <c:v>0.41675391288929947</c:v>
                </c:pt>
                <c:pt idx="102">
                  <c:v>0.413117699047575</c:v>
                </c:pt>
                <c:pt idx="103">
                  <c:v>0.40939545876493733</c:v>
                </c:pt>
                <c:pt idx="104">
                  <c:v>0.40558611221396246</c:v>
                </c:pt>
                <c:pt idx="105">
                  <c:v>0.40168862113175213</c:v>
                </c:pt>
                <c:pt idx="106">
                  <c:v>0.39770199241004528</c:v>
                </c:pt>
                <c:pt idx="107">
                  <c:v>0.39362528176844913</c:v>
                </c:pt>
                <c:pt idx="108">
                  <c:v>0.38945759750472908</c:v>
                </c:pt>
                <c:pt idx="109">
                  <c:v>0.3849714585576216</c:v>
                </c:pt>
                <c:pt idx="110">
                  <c:v>0.38038269526686458</c:v>
                </c:pt>
                <c:pt idx="111">
                  <c:v>0.3756904847956401</c:v>
                </c:pt>
                <c:pt idx="112">
                  <c:v>0.37089408852858069</c:v>
                </c:pt>
                <c:pt idx="113">
                  <c:v>0.36599285724683195</c:v>
                </c:pt>
                <c:pt idx="114">
                  <c:v>0.36098623632289634</c:v>
                </c:pt>
                <c:pt idx="115">
                  <c:v>0.35587377091808509</c:v>
                </c:pt>
                <c:pt idx="116">
                  <c:v>0.34828815119432988</c:v>
                </c:pt>
                <c:pt idx="117">
                  <c:v>0.34047956528490853</c:v>
                </c:pt>
                <c:pt idx="118">
                  <c:v>0.33424225487485798</c:v>
                </c:pt>
                <c:pt idx="119">
                  <c:v>0.3278697211428987</c:v>
                </c:pt>
                <c:pt idx="120">
                  <c:v>0.32136233925408186</c:v>
                </c:pt>
                <c:pt idx="121">
                  <c:v>0.31472070255682805</c:v>
                </c:pt>
                <c:pt idx="122">
                  <c:v>0.30920422662902858</c:v>
                </c:pt>
                <c:pt idx="123">
                  <c:v>0.30359952162321957</c:v>
                </c:pt>
                <c:pt idx="124">
                  <c:v>0.29790725336472362</c:v>
                </c:pt>
                <c:pt idx="125">
                  <c:v>0.29212819628565628</c:v>
                </c:pt>
                <c:pt idx="126">
                  <c:v>0.28626323573050172</c:v>
                </c:pt>
                <c:pt idx="127">
                  <c:v>0.28031337008951829</c:v>
                </c:pt>
                <c:pt idx="128">
                  <c:v>0.2742797127667535</c:v>
                </c:pt>
                <c:pt idx="129">
                  <c:v>0.26816349398023992</c:v>
                </c:pt>
                <c:pt idx="130">
                  <c:v>0.26196606238664899</c:v>
                </c:pt>
                <c:pt idx="131">
                  <c:v>0.25568888652757188</c:v>
                </c:pt>
                <c:pt idx="132">
                  <c:v>0.24933355610286137</c:v>
                </c:pt>
                <c:pt idx="133">
                  <c:v>0.2429017830820713</c:v>
                </c:pt>
                <c:pt idx="134">
                  <c:v>0.23639540266864062</c:v>
                </c:pt>
                <c:pt idx="135">
                  <c:v>0.22981637413651598</c:v>
                </c:pt>
                <c:pt idx="136">
                  <c:v>0.22316678156690897</c:v>
                </c:pt>
                <c:pt idx="137">
                  <c:v>0.21633126305554126</c:v>
                </c:pt>
                <c:pt idx="138">
                  <c:v>0.20942745023604539</c:v>
                </c:pt>
                <c:pt idx="139">
                  <c:v>0.20245794008020004</c:v>
                </c:pt>
                <c:pt idx="140">
                  <c:v>0.19542546644368816</c:v>
                </c:pt>
                <c:pt idx="141">
                  <c:v>0.18833290127482274</c:v>
                </c:pt>
                <c:pt idx="142">
                  <c:v>0.18268419805146036</c:v>
                </c:pt>
                <c:pt idx="143">
                  <c:v>0.17700135632825423</c:v>
                </c:pt>
                <c:pt idx="144">
                  <c:v>0.17128598414898394</c:v>
                </c:pt>
                <c:pt idx="145">
                  <c:v>0.16553974720974482</c:v>
                </c:pt>
                <c:pt idx="146">
                  <c:v>0.16086067676155816</c:v>
                </c:pt>
                <c:pt idx="147">
                  <c:v>0.15616340858904637</c:v>
                </c:pt>
                <c:pt idx="148">
                  <c:v>0.15144891806612124</c:v>
                </c:pt>
                <c:pt idx="149">
                  <c:v>0.14671820901280416</c:v>
                </c:pt>
                <c:pt idx="150">
                  <c:v>0.14197231504619162</c:v>
                </c:pt>
                <c:pt idx="151">
                  <c:v>0.13721230124526507</c:v>
                </c:pt>
                <c:pt idx="152">
                  <c:v>0.13332248951005365</c:v>
                </c:pt>
                <c:pt idx="153">
                  <c:v>0.12942463743335555</c:v>
                </c:pt>
                <c:pt idx="154">
                  <c:v>0.12551937455132045</c:v>
                </c:pt>
                <c:pt idx="155">
                  <c:v>0.12160734859378029</c:v>
                </c:pt>
                <c:pt idx="156">
                  <c:v>0.11768922698189996</c:v>
                </c:pt>
                <c:pt idx="157">
                  <c:v>0.1137656986133278</c:v>
                </c:pt>
                <c:pt idx="158">
                  <c:v>0.11050807435810427</c:v>
                </c:pt>
                <c:pt idx="159">
                  <c:v>0.10724764064721544</c:v>
                </c:pt>
                <c:pt idx="160">
                  <c:v>0.10398483094174504</c:v>
                </c:pt>
                <c:pt idx="161">
                  <c:v>0.10072009354497176</c:v>
                </c:pt>
                <c:pt idx="162">
                  <c:v>9.7453893177709153E-2</c:v>
                </c:pt>
                <c:pt idx="163">
                  <c:v>9.4186712829333746E-2</c:v>
                </c:pt>
                <c:pt idx="164">
                  <c:v>9.0919055925623909E-2</c:v>
                </c:pt>
                <c:pt idx="165">
                  <c:v>8.8271991175481693E-2</c:v>
                </c:pt>
                <c:pt idx="166">
                  <c:v>8.5625250830522803E-2</c:v>
                </c:pt>
                <c:pt idx="167">
                  <c:v>8.2979139512080843E-2</c:v>
                </c:pt>
                <c:pt idx="168">
                  <c:v>8.0333975663060275E-2</c:v>
                </c:pt>
                <c:pt idx="169">
                  <c:v>7.7690093189959564E-2</c:v>
                </c:pt>
                <c:pt idx="170">
                  <c:v>7.5047843380668958E-2</c:v>
                </c:pt>
                <c:pt idx="171">
                  <c:v>7.2407597136440169E-2</c:v>
                </c:pt>
                <c:pt idx="172">
                  <c:v>7.026608720967184E-2</c:v>
                </c:pt>
                <c:pt idx="173">
                  <c:v>6.8126378494105494E-2</c:v>
                </c:pt>
                <c:pt idx="174">
                  <c:v>6.598870561444066E-2</c:v>
                </c:pt>
                <c:pt idx="175">
                  <c:v>6.3853316860533554E-2</c:v>
                </c:pt>
                <c:pt idx="176">
                  <c:v>6.1720475856895093E-2</c:v>
                </c:pt>
                <c:pt idx="177">
                  <c:v>5.9590463505504926E-2</c:v>
                </c:pt>
                <c:pt idx="178">
                  <c:v>5.7463580239501079E-2</c:v>
                </c:pt>
                <c:pt idx="179">
                  <c:v>5.57358154574343E-2</c:v>
                </c:pt>
                <c:pt idx="180">
                  <c:v>5.4010520498590557E-2</c:v>
                </c:pt>
                <c:pt idx="181">
                  <c:v>5.2287893543193589E-2</c:v>
                </c:pt>
                <c:pt idx="182">
                  <c:v>5.0568146536156683E-2</c:v>
                </c:pt>
                <c:pt idx="183">
                  <c:v>4.8851506867204152E-2</c:v>
                </c:pt>
                <c:pt idx="184">
                  <c:v>4.7138219320738153E-2</c:v>
                </c:pt>
                <c:pt idx="185">
                  <c:v>4.5428548331682139E-2</c:v>
                </c:pt>
                <c:pt idx="186">
                  <c:v>4.4036056863919364E-2</c:v>
                </c:pt>
                <c:pt idx="187">
                  <c:v>4.2646333182479991E-2</c:v>
                </c:pt>
                <c:pt idx="188">
                  <c:v>4.1259558034417748E-2</c:v>
                </c:pt>
                <c:pt idx="189">
                  <c:v>3.987592613974144E-2</c:v>
                </c:pt>
                <c:pt idx="190">
                  <c:v>3.8495647877664026E-2</c:v>
                </c:pt>
                <c:pt idx="191">
                  <c:v>3.71189512379159E-2</c:v>
                </c:pt>
                <c:pt idx="192">
                  <c:v>3.5746084071615433E-2</c:v>
                </c:pt>
                <c:pt idx="193">
                  <c:v>3.4623798809702781E-2</c:v>
                </c:pt>
                <c:pt idx="194">
                  <c:v>3.3504429204053832E-2</c:v>
                </c:pt>
                <c:pt idx="195">
                  <c:v>3.2388149566893995E-2</c:v>
                </c:pt>
                <c:pt idx="196">
                  <c:v>3.1275148477692173E-2</c:v>
                </c:pt>
                <c:pt idx="197">
                  <c:v>3.0165630474738959E-2</c:v>
                </c:pt>
                <c:pt idx="198">
                  <c:v>2.9059818005400459E-2</c:v>
                </c:pt>
                <c:pt idx="199">
                  <c:v>2.7957953667127073E-2</c:v>
                </c:pt>
                <c:pt idx="200">
                  <c:v>2.7052413541321138E-2</c:v>
                </c:pt>
                <c:pt idx="201">
                  <c:v>2.6149900410847068E-2</c:v>
                </c:pt>
                <c:pt idx="202">
                  <c:v>2.5250589324649374E-2</c:v>
                </c:pt>
                <c:pt idx="203">
                  <c:v>2.4354670016559551E-2</c:v>
                </c:pt>
                <c:pt idx="204">
                  <c:v>2.3462348603661341E-2</c:v>
                </c:pt>
                <c:pt idx="205">
                  <c:v>2.2573849534308903E-2</c:v>
                </c:pt>
                <c:pt idx="206">
                  <c:v>2.168941781444924E-2</c:v>
                </c:pt>
                <c:pt idx="207">
                  <c:v>2.0956768017535921E-2</c:v>
                </c:pt>
                <c:pt idx="208">
                  <c:v>2.0227287708761702E-2</c:v>
                </c:pt>
                <c:pt idx="209">
                  <c:v>1.9501158789026495E-2</c:v>
                </c:pt>
                <c:pt idx="210">
                  <c:v>1.8778578475683556E-2</c:v>
                </c:pt>
                <c:pt idx="211">
                  <c:v>1.8059761011522651E-2</c:v>
                </c:pt>
                <c:pt idx="212">
                  <c:v>1.7344939609946111E-2</c:v>
                </c:pt>
                <c:pt idx="213">
                  <c:v>1.6634368659865673E-2</c:v>
                </c:pt>
                <c:pt idx="214">
                  <c:v>1.5928326228744932E-2</c:v>
                </c:pt>
                <c:pt idx="215">
                  <c:v>1.5351443785145096E-2</c:v>
                </c:pt>
                <c:pt idx="216">
                  <c:v>1.4778012014034747E-2</c:v>
                </c:pt>
                <c:pt idx="217">
                  <c:v>1.4208230113958505E-2</c:v>
                </c:pt>
                <c:pt idx="218">
                  <c:v>1.3642313797090662E-2</c:v>
                </c:pt>
                <c:pt idx="219">
                  <c:v>1.3080497009634299E-2</c:v>
                </c:pt>
                <c:pt idx="220">
                  <c:v>1.2523033861784997E-2</c:v>
                </c:pt>
                <c:pt idx="221">
                  <c:v>1.1970200777263445E-2</c:v>
                </c:pt>
                <c:pt idx="222">
                  <c:v>1.1422298884357739E-2</c:v>
                </c:pt>
                <c:pt idx="223">
                  <c:v>1.0879656678680034E-2</c:v>
                </c:pt>
                <c:pt idx="224">
                  <c:v>1.0342632985513278E-2</c:v>
                </c:pt>
                <c:pt idx="225">
                  <c:v>9.8116202429587695E-3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25-4563-91EC-8EF600881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605856"/>
        <c:axId val="603603888"/>
      </c:scatterChart>
      <c:valAx>
        <c:axId val="688284240"/>
        <c:scaling>
          <c:orientation val="minMax"/>
          <c:max val="13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aseline="0">
                    <a:solidFill>
                      <a:sysClr val="windowText" lastClr="000000"/>
                    </a:solidFill>
                  </a:rPr>
                  <a:t>Time (h)</a:t>
                </a:r>
                <a:endParaRPr lang="en-GB" sz="105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278336"/>
        <c:crosses val="autoZero"/>
        <c:crossBetween val="midCat"/>
        <c:majorUnit val="2"/>
        <c:minorUnit val="5.000000000000001E-2"/>
      </c:valAx>
      <c:valAx>
        <c:axId val="688278336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>
                    <a:solidFill>
                      <a:sysClr val="windowText" lastClr="000000"/>
                    </a:solidFill>
                  </a:rPr>
                  <a:t>Concentration</a:t>
                </a:r>
                <a:r>
                  <a:rPr lang="en-US" sz="105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 sz="1050">
                    <a:solidFill>
                      <a:sysClr val="windowText" lastClr="000000"/>
                    </a:solidFill>
                  </a:rPr>
                  <a:t>(mol/L)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284240"/>
        <c:crosses val="autoZero"/>
        <c:crossBetween val="midCat"/>
      </c:valAx>
      <c:valAx>
        <c:axId val="603603888"/>
        <c:scaling>
          <c:orientation val="minMax"/>
          <c:max val="5.000000000000001E-3"/>
        </c:scaling>
        <c:delete val="1"/>
        <c:axPos val="r"/>
        <c:numFmt formatCode="General" sourceLinked="1"/>
        <c:majorTickMark val="out"/>
        <c:minorTickMark val="none"/>
        <c:tickLblPos val="nextTo"/>
        <c:crossAx val="603605856"/>
        <c:crosses val="max"/>
        <c:crossBetween val="midCat"/>
      </c:valAx>
      <c:valAx>
        <c:axId val="603605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36038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0205205303710982"/>
          <c:y val="0.26368427333759914"/>
          <c:w val="0.17382087651036779"/>
          <c:h val="0.40813629300100551"/>
        </c:manualLayout>
      </c:layout>
      <c:overlay val="1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77445352256649"/>
          <c:y val="4.2635658914728682E-2"/>
          <c:w val="0.52835312676131496"/>
          <c:h val="0.81809924621491281"/>
        </c:manualLayout>
      </c:layout>
      <c:scatterChart>
        <c:scatterStyle val="lineMarker"/>
        <c:varyColors val="0"/>
        <c:ser>
          <c:idx val="5"/>
          <c:order val="0"/>
          <c:tx>
            <c:strRef>
              <c:f>'Figure 4'!$E$24</c:f>
              <c:strCache>
                <c:ptCount val="1"/>
                <c:pt idx="0">
                  <c:v>biomass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'Figure 4'!$A$26:$A$75</c:f>
              <c:numCache>
                <c:formatCode>General</c:formatCode>
                <c:ptCount val="50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</c:v>
                </c:pt>
                <c:pt idx="48">
                  <c:v>0.47499999999999998</c:v>
                </c:pt>
                <c:pt idx="49">
                  <c:v>0.47699999999999998</c:v>
                </c:pt>
              </c:numCache>
            </c:numRef>
          </c:xVal>
          <c:yVal>
            <c:numRef>
              <c:f>'Figure 4'!$E$26:$E$75</c:f>
              <c:numCache>
                <c:formatCode>General</c:formatCode>
                <c:ptCount val="50"/>
                <c:pt idx="0">
                  <c:v>2.0728025932139605E-3</c:v>
                </c:pt>
                <c:pt idx="1">
                  <c:v>1.9107264103929534E-2</c:v>
                </c:pt>
                <c:pt idx="2">
                  <c:v>3.5158950560495512E-2</c:v>
                </c:pt>
                <c:pt idx="3">
                  <c:v>4.8832456890935981E-2</c:v>
                </c:pt>
                <c:pt idx="4">
                  <c:v>6.0618625580027667E-2</c:v>
                </c:pt>
                <c:pt idx="5">
                  <c:v>7.0881818371056282E-2</c:v>
                </c:pt>
                <c:pt idx="6">
                  <c:v>7.9898179778787812E-2</c:v>
                </c:pt>
                <c:pt idx="7">
                  <c:v>8.7880800974237866E-2</c:v>
                </c:pt>
                <c:pt idx="8">
                  <c:v>9.4996733549197243E-2</c:v>
                </c:pt>
                <c:pt idx="9">
                  <c:v>0.10137877482458611</c:v>
                </c:pt>
                <c:pt idx="10">
                  <c:v>0.10713380765141613</c:v>
                </c:pt>
                <c:pt idx="11">
                  <c:v>0.11234881502305223</c:v>
                </c:pt>
                <c:pt idx="12">
                  <c:v>0.11709529192539743</c:v>
                </c:pt>
                <c:pt idx="13">
                  <c:v>0.12143253116791365</c:v>
                </c:pt>
                <c:pt idx="14">
                  <c:v>0.1254101044023167</c:v>
                </c:pt>
                <c:pt idx="15">
                  <c:v>0.1290697588298291</c:v>
                </c:pt>
                <c:pt idx="16">
                  <c:v>0.1324468835494379</c:v>
                </c:pt>
                <c:pt idx="17">
                  <c:v>0.13557165469635887</c:v>
                </c:pt>
                <c:pt idx="18">
                  <c:v>0.13846993783466235</c:v>
                </c:pt>
                <c:pt idx="19">
                  <c:v>0.14116400471350202</c:v>
                </c:pt>
                <c:pt idx="20">
                  <c:v>0.14367310640819775</c:v>
                </c:pt>
                <c:pt idx="21">
                  <c:v>0.14601393404730781</c:v>
                </c:pt>
                <c:pt idx="22">
                  <c:v>0.14820099044796486</c:v>
                </c:pt>
                <c:pt idx="23">
                  <c:v>0.15024689014640502</c:v>
                </c:pt>
                <c:pt idx="24">
                  <c:v>0.15216260089798736</c:v>
                </c:pt>
                <c:pt idx="25">
                  <c:v>0.15395763628902653</c:v>
                </c:pt>
                <c:pt idx="26">
                  <c:v>0.15564020632231942</c:v>
                </c:pt>
                <c:pt idx="27">
                  <c:v>0.15721733044573699</c:v>
                </c:pt>
                <c:pt idx="28">
                  <c:v>0.15869491525216389</c:v>
                </c:pt>
                <c:pt idx="29">
                  <c:v>0.16007779674203867</c:v>
                </c:pt>
                <c:pt idx="30">
                  <c:v>0.16136974430197923</c:v>
                </c:pt>
                <c:pt idx="31">
                  <c:v>0.16257341998296623</c:v>
                </c:pt>
                <c:pt idx="32">
                  <c:v>0.16369028158496529</c:v>
                </c:pt>
                <c:pt idx="33">
                  <c:v>0.16472041034438917</c:v>
                </c:pt>
                <c:pt idx="34">
                  <c:v>0.16566223169593688</c:v>
                </c:pt>
                <c:pt idx="35">
                  <c:v>0.16651207701058393</c:v>
                </c:pt>
                <c:pt idx="36">
                  <c:v>0.16726349845910329</c:v>
                </c:pt>
                <c:pt idx="37">
                  <c:v>0.16790618435690433</c:v>
                </c:pt>
                <c:pt idx="38">
                  <c:v>0.168424199422224</c:v>
                </c:pt>
                <c:pt idx="39">
                  <c:v>0.1687930286954176</c:v>
                </c:pt>
                <c:pt idx="40">
                  <c:v>0.16897438193527206</c:v>
                </c:pt>
                <c:pt idx="41">
                  <c:v>0.16890652245689458</c:v>
                </c:pt>
                <c:pt idx="42">
                  <c:v>0.16848490237543745</c:v>
                </c:pt>
                <c:pt idx="43">
                  <c:v>0.16751953674414</c:v>
                </c:pt>
                <c:pt idx="44">
                  <c:v>0.16562841340651444</c:v>
                </c:pt>
                <c:pt idx="45">
                  <c:v>0.16191769284740959</c:v>
                </c:pt>
                <c:pt idx="46">
                  <c:v>0.15370246855694528</c:v>
                </c:pt>
                <c:pt idx="47">
                  <c:v>0.12755202099853402</c:v>
                </c:pt>
                <c:pt idx="48">
                  <c:v>7.4171168538304466E-2</c:v>
                </c:pt>
                <c:pt idx="49">
                  <c:v>2.6705214720948987E-3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2A2-4B75-97AB-B1D82A0D1AA8}"/>
            </c:ext>
          </c:extLst>
        </c:ser>
        <c:ser>
          <c:idx val="3"/>
          <c:order val="1"/>
          <c:tx>
            <c:strRef>
              <c:f>'Figure 4'!$C$24</c:f>
              <c:strCache>
                <c:ptCount val="1"/>
                <c:pt idx="0">
                  <c:v>glucose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'Figure 4'!$A$26:$A$75</c:f>
              <c:numCache>
                <c:formatCode>General</c:formatCode>
                <c:ptCount val="50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</c:v>
                </c:pt>
                <c:pt idx="48">
                  <c:v>0.47499999999999998</c:v>
                </c:pt>
                <c:pt idx="49">
                  <c:v>0.47699999999999998</c:v>
                </c:pt>
              </c:numCache>
            </c:numRef>
          </c:xVal>
          <c:yVal>
            <c:numRef>
              <c:f>'Figure 4'!$C$26:$C$75</c:f>
              <c:numCache>
                <c:formatCode>General</c:formatCode>
                <c:ptCount val="50"/>
                <c:pt idx="0">
                  <c:v>6.1623264842691294E-4</c:v>
                </c:pt>
                <c:pt idx="1">
                  <c:v>6.8122433743934309E-4</c:v>
                </c:pt>
                <c:pt idx="2">
                  <c:v>7.5642003559623727E-4</c:v>
                </c:pt>
                <c:pt idx="3">
                  <c:v>8.3495776478232633E-4</c:v>
                </c:pt>
                <c:pt idx="4">
                  <c:v>9.1706539074960151E-4</c:v>
                </c:pt>
                <c:pt idx="5">
                  <c:v>1.0029919760641919E-3</c:v>
                </c:pt>
                <c:pt idx="6">
                  <c:v>1.0930103035366198E-3</c:v>
                </c:pt>
                <c:pt idx="7">
                  <c:v>1.1874197689345318E-3</c:v>
                </c:pt>
                <c:pt idx="8">
                  <c:v>1.2865497076023397E-3</c:v>
                </c:pt>
                <c:pt idx="9">
                  <c:v>1.3907632328684961E-3</c:v>
                </c:pt>
                <c:pt idx="10">
                  <c:v>1.5004616805170826E-3</c:v>
                </c:pt>
                <c:pt idx="11">
                  <c:v>1.6160897739845108E-3</c:v>
                </c:pt>
                <c:pt idx="12">
                  <c:v>1.7381416504223526E-3</c:v>
                </c:pt>
                <c:pt idx="13">
                  <c:v>1.8671679197994988E-3</c:v>
                </c:pt>
                <c:pt idx="14">
                  <c:v>2.0037839697282425E-3</c:v>
                </c:pt>
                <c:pt idx="15">
                  <c:v>2.1486797802587284E-3</c:v>
                </c:pt>
                <c:pt idx="16">
                  <c:v>2.3026315789473691E-3</c:v>
                </c:pt>
                <c:pt idx="17">
                  <c:v>2.4665157517449552E-3</c:v>
                </c:pt>
                <c:pt idx="18">
                  <c:v>2.6413255360623797E-3</c:v>
                </c:pt>
                <c:pt idx="19">
                  <c:v>2.8281911675741098E-3</c:v>
                </c:pt>
                <c:pt idx="20">
                  <c:v>3.0284043441938199E-3</c:v>
                </c:pt>
                <c:pt idx="21">
                  <c:v>3.2434481264890657E-3</c:v>
                </c:pt>
                <c:pt idx="22">
                  <c:v>3.4750337381916348E-3</c:v>
                </c:pt>
                <c:pt idx="23">
                  <c:v>3.7251461988304117E-3</c:v>
                </c:pt>
                <c:pt idx="24">
                  <c:v>3.9961013645224202E-3</c:v>
                </c:pt>
                <c:pt idx="25">
                  <c:v>4.2906178489702561E-3</c:v>
                </c:pt>
                <c:pt idx="26">
                  <c:v>4.6119085592769855E-3</c:v>
                </c:pt>
                <c:pt idx="27">
                  <c:v>4.9637983848510219E-3</c:v>
                </c:pt>
                <c:pt idx="28">
                  <c:v>5.3508771929824638E-3</c:v>
                </c:pt>
                <c:pt idx="29">
                  <c:v>5.7787011388119513E-3</c:v>
                </c:pt>
                <c:pt idx="30">
                  <c:v>6.2540610786224887E-3</c:v>
                </c:pt>
                <c:pt idx="31">
                  <c:v>6.7853457172342702E-3</c:v>
                </c:pt>
                <c:pt idx="32">
                  <c:v>7.3830409356725251E-3</c:v>
                </c:pt>
                <c:pt idx="33">
                  <c:v>8.0604288499025473E-3</c:v>
                </c:pt>
                <c:pt idx="34">
                  <c:v>8.8345864661654293E-3</c:v>
                </c:pt>
                <c:pt idx="35">
                  <c:v>9.7278452541610643E-3</c:v>
                </c:pt>
                <c:pt idx="36">
                  <c:v>1.0769980506822638E-2</c:v>
                </c:pt>
                <c:pt idx="37">
                  <c:v>1.2001594896331772E-2</c:v>
                </c:pt>
                <c:pt idx="38">
                  <c:v>1.3479532163742735E-2</c:v>
                </c:pt>
                <c:pt idx="39">
                  <c:v>1.5285899935022799E-2</c:v>
                </c:pt>
                <c:pt idx="40">
                  <c:v>1.7543859649122882E-2</c:v>
                </c:pt>
                <c:pt idx="41">
                  <c:v>2.0446950710108713E-2</c:v>
                </c:pt>
                <c:pt idx="42">
                  <c:v>2.4317738791423155E-2</c:v>
                </c:pt>
                <c:pt idx="43">
                  <c:v>2.9736842105263391E-2</c:v>
                </c:pt>
                <c:pt idx="44">
                  <c:v>3.7865497076023776E-2</c:v>
                </c:pt>
                <c:pt idx="45">
                  <c:v>5.1413255360624494E-2</c:v>
                </c:pt>
                <c:pt idx="46">
                  <c:v>7.8508771929825874E-2</c:v>
                </c:pt>
                <c:pt idx="47">
                  <c:v>0.15979532163742807</c:v>
                </c:pt>
                <c:pt idx="48">
                  <c:v>0.32236842105263974</c:v>
                </c:pt>
                <c:pt idx="49">
                  <c:v>0.53913255360626111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A2-4B75-97AB-B1D82A0D1AA8}"/>
            </c:ext>
          </c:extLst>
        </c:ser>
        <c:ser>
          <c:idx val="4"/>
          <c:order val="2"/>
          <c:tx>
            <c:strRef>
              <c:f>'Figure 4'!$G$24</c:f>
              <c:strCache>
                <c:ptCount val="1"/>
                <c:pt idx="0">
                  <c:v>ethanol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'Figure 4'!$A$26:$A$75</c:f>
              <c:numCache>
                <c:formatCode>General</c:formatCode>
                <c:ptCount val="50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</c:v>
                </c:pt>
                <c:pt idx="48">
                  <c:v>0.47499999999999998</c:v>
                </c:pt>
                <c:pt idx="49">
                  <c:v>0.47699999999999998</c:v>
                </c:pt>
              </c:numCache>
            </c:numRef>
          </c:xVal>
          <c:yVal>
            <c:numRef>
              <c:f>'Figure 4'!$G$26:$G$75</c:f>
              <c:numCache>
                <c:formatCode>General</c:formatCode>
                <c:ptCount val="50"/>
                <c:pt idx="0">
                  <c:v>1.0924830435689772</c:v>
                </c:pt>
                <c:pt idx="1">
                  <c:v>1.0863626078930173</c:v>
                </c:pt>
                <c:pt idx="2">
                  <c:v>1.0805673734261445</c:v>
                </c:pt>
                <c:pt idx="3">
                  <c:v>1.0756017815749008</c:v>
                </c:pt>
                <c:pt idx="4">
                  <c:v>1.0712927636673024</c:v>
                </c:pt>
                <c:pt idx="5">
                  <c:v>1.0675116876984947</c:v>
                </c:pt>
                <c:pt idx="6">
                  <c:v>1.0641608972818311</c:v>
                </c:pt>
                <c:pt idx="7">
                  <c:v>1.0611648565639684</c:v>
                </c:pt>
                <c:pt idx="8">
                  <c:v>1.058464160397772</c:v>
                </c:pt>
                <c:pt idx="9">
                  <c:v>1.0560113821653947</c:v>
                </c:pt>
                <c:pt idx="10">
                  <c:v>1.0537681320593291</c:v>
                </c:pt>
                <c:pt idx="11">
                  <c:v>1.0517029316133688</c:v>
                </c:pt>
                <c:pt idx="12">
                  <c:v>1.0497896501498356</c:v>
                </c:pt>
                <c:pt idx="13">
                  <c:v>1.0480063351441293</c:v>
                </c:pt>
                <c:pt idx="14">
                  <c:v>1.0463343231235067</c:v>
                </c:pt>
                <c:pt idx="15">
                  <c:v>1.0447575530287709</c:v>
                </c:pt>
                <c:pt idx="16">
                  <c:v>1.0432620272383306</c:v>
                </c:pt>
                <c:pt idx="17">
                  <c:v>1.0418353810394017</c:v>
                </c:pt>
                <c:pt idx="18">
                  <c:v>1.0404665319004638</c:v>
                </c:pt>
                <c:pt idx="19">
                  <c:v>1.0391453871183813</c:v>
                </c:pt>
                <c:pt idx="20">
                  <c:v>1.0378625933358405</c:v>
                </c:pt>
                <c:pt idx="21">
                  <c:v>1.0366093147181632</c:v>
                </c:pt>
                <c:pt idx="22">
                  <c:v>1.0353770286605271</c:v>
                </c:pt>
                <c:pt idx="23">
                  <c:v>1.0341573290119643</c:v>
                </c:pt>
                <c:pt idx="24">
                  <c:v>1.0329417270662742</c:v>
                </c:pt>
                <c:pt idx="25">
                  <c:v>1.0317214399848631</c:v>
                </c:pt>
                <c:pt idx="26">
                  <c:v>1.0304871547692083</c:v>
                </c:pt>
                <c:pt idx="27">
                  <c:v>1.0292287531346582</c:v>
                </c:pt>
                <c:pt idx="28">
                  <c:v>1.0279349781948022</c:v>
                </c:pt>
                <c:pt idx="29">
                  <c:v>1.0265930169792039</c:v>
                </c:pt>
                <c:pt idx="30">
                  <c:v>1.0251879622076701</c:v>
                </c:pt>
                <c:pt idx="31">
                  <c:v>1.0237021003159663</c:v>
                </c:pt>
                <c:pt idx="32">
                  <c:v>1.0221139468823868</c:v>
                </c:pt>
                <c:pt idx="33">
                  <c:v>1.0203969091068625</c:v>
                </c:pt>
                <c:pt idx="34">
                  <c:v>1.0185173866990427</c:v>
                </c:pt>
                <c:pt idx="35">
                  <c:v>1.0164320068540671</c:v>
                </c:pt>
                <c:pt idx="36">
                  <c:v>1.0140834864726811</c:v>
                </c:pt>
                <c:pt idx="37">
                  <c:v>1.0113942464862697</c:v>
                </c:pt>
                <c:pt idx="38">
                  <c:v>1.0082562033201434</c:v>
                </c:pt>
                <c:pt idx="39">
                  <c:v>1.0045137628165104</c:v>
                </c:pt>
                <c:pt idx="40">
                  <c:v>0.99993406749896152</c:v>
                </c:pt>
                <c:pt idx="41">
                  <c:v>0.99415174929355254</c:v>
                </c:pt>
                <c:pt idx="42">
                  <c:v>0.9865584428595694</c:v>
                </c:pt>
                <c:pt idx="43">
                  <c:v>0.97605972314556178</c:v>
                </c:pt>
                <c:pt idx="44">
                  <c:v>0.96046745824443946</c:v>
                </c:pt>
                <c:pt idx="45">
                  <c:v>0.93467687840519009</c:v>
                </c:pt>
                <c:pt idx="46">
                  <c:v>0.88337486580893376</c:v>
                </c:pt>
                <c:pt idx="47">
                  <c:v>0.72999800711843721</c:v>
                </c:pt>
                <c:pt idx="48">
                  <c:v>0.42362407473652802</c:v>
                </c:pt>
                <c:pt idx="49">
                  <c:v>1.5240203847568959E-2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2A2-4B75-97AB-B1D82A0D1AA8}"/>
            </c:ext>
          </c:extLst>
        </c:ser>
        <c:ser>
          <c:idx val="2"/>
          <c:order val="3"/>
          <c:tx>
            <c:strRef>
              <c:f>'Figure 4'!$Q$24</c:f>
              <c:strCache>
                <c:ptCount val="1"/>
                <c:pt idx="0">
                  <c:v>biomass inhibited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'Figure 4'!$I$26:$I$74</c:f>
              <c:numCache>
                <c:formatCode>General</c:formatCode>
                <c:ptCount val="4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</c:v>
                </c:pt>
                <c:pt idx="48">
                  <c:v>0.47699999999999998</c:v>
                </c:pt>
              </c:numCache>
            </c:numRef>
          </c:xVal>
          <c:yVal>
            <c:numRef>
              <c:f>'Figure 4'!$Q$26:$Q$74</c:f>
              <c:numCache>
                <c:formatCode>General</c:formatCode>
                <c:ptCount val="49"/>
                <c:pt idx="0">
                  <c:v>1.5614057836549956E-3</c:v>
                </c:pt>
                <c:pt idx="1">
                  <c:v>1.4665669211015706E-2</c:v>
                </c:pt>
                <c:pt idx="2">
                  <c:v>2.7469878829994729E-2</c:v>
                </c:pt>
                <c:pt idx="3">
                  <c:v>3.8735506254305697E-2</c:v>
                </c:pt>
                <c:pt idx="4">
                  <c:v>4.8713689799912807E-2</c:v>
                </c:pt>
                <c:pt idx="5">
                  <c:v>5.7601849620468847E-2</c:v>
                </c:pt>
                <c:pt idx="6">
                  <c:v>6.5556279832994557E-2</c:v>
                </c:pt>
                <c:pt idx="7">
                  <c:v>7.2700949424390107E-2</c:v>
                </c:pt>
                <c:pt idx="8">
                  <c:v>7.9133519615917039E-2</c:v>
                </c:pt>
                <c:pt idx="9">
                  <c:v>8.4929158006220612E-2</c:v>
                </c:pt>
                <c:pt idx="10">
                  <c:v>9.0142425121255434E-2</c:v>
                </c:pt>
                <c:pt idx="11">
                  <c:v>9.4807327575937933E-2</c:v>
                </c:pt>
                <c:pt idx="12">
                  <c:v>9.8935736113441752E-2</c:v>
                </c:pt>
                <c:pt idx="13">
                  <c:v>0.10251525187718646</c:v>
                </c:pt>
                <c:pt idx="14">
                  <c:v>0.10551002968327426</c:v>
                </c:pt>
                <c:pt idx="15">
                  <c:v>0.10787121537037381</c:v>
                </c:pt>
                <c:pt idx="16">
                  <c:v>0.10956085721737691</c:v>
                </c:pt>
                <c:pt idx="17">
                  <c:v>0.11057756497634777</c:v>
                </c:pt>
                <c:pt idx="18">
                  <c:v>0.11096190685004496</c:v>
                </c:pt>
                <c:pt idx="19">
                  <c:v>0.11077911945556369</c:v>
                </c:pt>
                <c:pt idx="20">
                  <c:v>0.11009826526493438</c:v>
                </c:pt>
                <c:pt idx="21">
                  <c:v>0.10898075651285492</c:v>
                </c:pt>
                <c:pt idx="22">
                  <c:v>0.10747745808116375</c:v>
                </c:pt>
                <c:pt idx="23">
                  <c:v>0.10562969776850008</c:v>
                </c:pt>
                <c:pt idx="24">
                  <c:v>0.10347123148559732</c:v>
                </c:pt>
                <c:pt idx="25">
                  <c:v>0.10103004342141172</c:v>
                </c:pt>
                <c:pt idx="26">
                  <c:v>9.8329733238890035E-2</c:v>
                </c:pt>
                <c:pt idx="27">
                  <c:v>9.5390526993954061E-2</c:v>
                </c:pt>
                <c:pt idx="28">
                  <c:v>9.2230003404554006E-2</c:v>
                </c:pt>
                <c:pt idx="29">
                  <c:v>8.8863620138141211E-2</c:v>
                </c:pt>
                <c:pt idx="30">
                  <c:v>8.5305100988939189E-2</c:v>
                </c:pt>
                <c:pt idx="31">
                  <c:v>8.1566729402118274E-2</c:v>
                </c:pt>
                <c:pt idx="32">
                  <c:v>7.7659568666008677E-2</c:v>
                </c:pt>
                <c:pt idx="33">
                  <c:v>7.3593640162769189E-2</c:v>
                </c:pt>
                <c:pt idx="34">
                  <c:v>6.9378061431406499E-2</c:v>
                </c:pt>
                <c:pt idx="35">
                  <c:v>6.5021162894629059E-2</c:v>
                </c:pt>
                <c:pt idx="36">
                  <c:v>6.053057907260332E-2</c:v>
                </c:pt>
                <c:pt idx="37">
                  <c:v>5.5913328763145927E-2</c:v>
                </c:pt>
                <c:pt idx="38">
                  <c:v>5.1175881561184071E-2</c:v>
                </c:pt>
                <c:pt idx="39">
                  <c:v>4.6324214512542358E-2</c:v>
                </c:pt>
                <c:pt idx="40">
                  <c:v>4.1363861473507658E-2</c:v>
                </c:pt>
                <c:pt idx="41">
                  <c:v>3.6299955916899586E-2</c:v>
                </c:pt>
                <c:pt idx="42">
                  <c:v>3.1137269588190408E-2</c:v>
                </c:pt>
                <c:pt idx="43">
                  <c:v>2.5880243147653012E-2</c:v>
                </c:pt>
                <c:pt idx="44">
                  <c:v>2.0533014972675505E-2</c:v>
                </c:pt>
                <c:pt idx="45">
                  <c:v>1.5099450964590061E-2</c:v>
                </c:pt>
                <c:pt idx="46">
                  <c:v>9.5831641338245954E-3</c:v>
                </c:pt>
                <c:pt idx="47">
                  <c:v>3.9875367282483018E-3</c:v>
                </c:pt>
                <c:pt idx="48">
                  <c:v>2.509396140273403E-5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A2-4B75-97AB-B1D82A0D1AA8}"/>
            </c:ext>
          </c:extLst>
        </c:ser>
        <c:ser>
          <c:idx val="0"/>
          <c:order val="4"/>
          <c:tx>
            <c:strRef>
              <c:f>'Figure 4'!$O$24</c:f>
              <c:strCache>
                <c:ptCount val="1"/>
                <c:pt idx="0">
                  <c:v>glucose inhibited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4'!$I$26:$I$74</c:f>
              <c:numCache>
                <c:formatCode>General</c:formatCode>
                <c:ptCount val="4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</c:v>
                </c:pt>
                <c:pt idx="48">
                  <c:v>0.47699999999999998</c:v>
                </c:pt>
              </c:numCache>
            </c:numRef>
          </c:xVal>
          <c:yVal>
            <c:numRef>
              <c:f>'Figure 4'!$O$26:$O$74</c:f>
              <c:numCache>
                <c:formatCode>General</c:formatCode>
                <c:ptCount val="49"/>
                <c:pt idx="0">
                  <c:v>2.6405601077118036E-3</c:v>
                </c:pt>
                <c:pt idx="1">
                  <c:v>2.9606476496933536E-3</c:v>
                </c:pt>
                <c:pt idx="2">
                  <c:v>3.3636144320593406E-3</c:v>
                </c:pt>
                <c:pt idx="3">
                  <c:v>3.8266894442443846E-3</c:v>
                </c:pt>
                <c:pt idx="4">
                  <c:v>4.3636611213798138E-3</c:v>
                </c:pt>
                <c:pt idx="5">
                  <c:v>4.9927276304112559E-3</c:v>
                </c:pt>
                <c:pt idx="6">
                  <c:v>5.738284706223484E-3</c:v>
                </c:pt>
                <c:pt idx="7">
                  <c:v>6.633584044713689E-3</c:v>
                </c:pt>
                <c:pt idx="8">
                  <c:v>7.7247252425078437E-3</c:v>
                </c:pt>
                <c:pt idx="9">
                  <c:v>9.0766632651311917E-3</c:v>
                </c:pt>
                <c:pt idx="10">
                  <c:v>1.0782123336169239E-2</c:v>
                </c:pt>
                <c:pt idx="11">
                  <c:v>1.2974201037604062E-2</c:v>
                </c:pt>
                <c:pt idx="12">
                  <c:v>1.5841961903713137E-2</c:v>
                </c:pt>
                <c:pt idx="13">
                  <c:v>1.9643089746979935E-2</c:v>
                </c:pt>
                <c:pt idx="14">
                  <c:v>2.4695672051139962E-2</c:v>
                </c:pt>
                <c:pt idx="15">
                  <c:v>3.1319239585229766E-2</c:v>
                </c:pt>
                <c:pt idx="16">
                  <c:v>3.9717557130274077E-2</c:v>
                </c:pt>
                <c:pt idx="17">
                  <c:v>4.9874966534046161E-2</c:v>
                </c:pt>
                <c:pt idx="18">
                  <c:v>6.1568681192605806E-2</c:v>
                </c:pt>
                <c:pt idx="19">
                  <c:v>7.4482525753088474E-2</c:v>
                </c:pt>
                <c:pt idx="20">
                  <c:v>8.8314581089089059E-2</c:v>
                </c:pt>
                <c:pt idx="21">
                  <c:v>0.1028244212699055</c:v>
                </c:pt>
                <c:pt idx="22">
                  <c:v>0.11783610332184627</c:v>
                </c:pt>
                <c:pt idx="23">
                  <c:v>0.13322498300853355</c:v>
                </c:pt>
                <c:pt idx="24">
                  <c:v>0.14890317055832414</c:v>
                </c:pt>
                <c:pt idx="25">
                  <c:v>0.16480810848299493</c:v>
                </c:pt>
                <c:pt idx="26">
                  <c:v>0.18089455097823626</c:v>
                </c:pt>
                <c:pt idx="27">
                  <c:v>0.19712915327183536</c:v>
                </c:pt>
                <c:pt idx="28">
                  <c:v>0.21348686283066381</c:v>
                </c:pt>
                <c:pt idx="29">
                  <c:v>0.22994849954448526</c:v>
                </c:pt>
                <c:pt idx="30">
                  <c:v>0.24649911658926979</c:v>
                </c:pt>
                <c:pt idx="31">
                  <c:v>0.26312686406217611</c:v>
                </c:pt>
                <c:pt idx="32">
                  <c:v>0.27982221251398548</c:v>
                </c:pt>
                <c:pt idx="33">
                  <c:v>0.29657738238948633</c:v>
                </c:pt>
                <c:pt idx="34">
                  <c:v>0.31338594679121196</c:v>
                </c:pt>
                <c:pt idx="35">
                  <c:v>0.33024252566811346</c:v>
                </c:pt>
                <c:pt idx="36">
                  <c:v>0.34714257522246456</c:v>
                </c:pt>
                <c:pt idx="37">
                  <c:v>0.3640822168743344</c:v>
                </c:pt>
                <c:pt idx="38">
                  <c:v>0.38105811091160369</c:v>
                </c:pt>
                <c:pt idx="39">
                  <c:v>0.39806735960404688</c:v>
                </c:pt>
                <c:pt idx="40">
                  <c:v>0.41510742995594752</c:v>
                </c:pt>
                <c:pt idx="41">
                  <c:v>0.43217609296467596</c:v>
                </c:pt>
                <c:pt idx="42">
                  <c:v>0.44927137136054301</c:v>
                </c:pt>
                <c:pt idx="43">
                  <c:v>0.46639150792424983</c:v>
                </c:pt>
                <c:pt idx="44">
                  <c:v>0.48353493470070946</c:v>
                </c:pt>
                <c:pt idx="45">
                  <c:v>0.50070023480339954</c:v>
                </c:pt>
                <c:pt idx="46">
                  <c:v>0.51788613195716959</c:v>
                </c:pt>
                <c:pt idx="47">
                  <c:v>0.53509146812014341</c:v>
                </c:pt>
                <c:pt idx="48">
                  <c:v>0.54714620567979266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A2-4B75-97AB-B1D82A0D1AA8}"/>
            </c:ext>
          </c:extLst>
        </c:ser>
        <c:ser>
          <c:idx val="1"/>
          <c:order val="5"/>
          <c:tx>
            <c:strRef>
              <c:f>'Figure 4'!$S$24</c:f>
              <c:strCache>
                <c:ptCount val="1"/>
                <c:pt idx="0">
                  <c:v>ethanol inhibited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'Figure 4'!$I$26:$I$74</c:f>
              <c:numCache>
                <c:formatCode>General</c:formatCode>
                <c:ptCount val="49"/>
                <c:pt idx="0">
                  <c:v>1E-3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</c:v>
                </c:pt>
                <c:pt idx="48">
                  <c:v>0.47699999999999998</c:v>
                </c:pt>
              </c:numCache>
            </c:numRef>
          </c:xVal>
          <c:yVal>
            <c:numRef>
              <c:f>'Figure 4'!$T$26:$T$74</c:f>
              <c:numCache>
                <c:formatCode>General</c:formatCode>
                <c:ptCount val="49"/>
                <c:pt idx="0">
                  <c:v>1.0886142298610977</c:v>
                </c:pt>
                <c:pt idx="1">
                  <c:v>1.0833657221374842</c:v>
                </c:pt>
                <c:pt idx="2">
                  <c:v>1.0780569748535989</c:v>
                </c:pt>
                <c:pt idx="3">
                  <c:v>1.0731690791756714</c:v>
                </c:pt>
                <c:pt idx="4">
                  <c:v>1.0685861412456199</c:v>
                </c:pt>
                <c:pt idx="5">
                  <c:v>1.0642023387339978</c:v>
                </c:pt>
                <c:pt idx="6">
                  <c:v>1.0599139166252753</c:v>
                </c:pt>
                <c:pt idx="7">
                  <c:v>1.0556107758140469</c:v>
                </c:pt>
                <c:pt idx="8">
                  <c:v>1.0511663729336493</c:v>
                </c:pt>
                <c:pt idx="9">
                  <c:v>1.0464243640126947</c:v>
                </c:pt>
                <c:pt idx="10">
                  <c:v>1.0411801115734747</c:v>
                </c:pt>
                <c:pt idx="11">
                  <c:v>1.0351554655168691</c:v>
                </c:pt>
                <c:pt idx="12">
                  <c:v>1.0279681200889939</c:v>
                </c:pt>
                <c:pt idx="13">
                  <c:v>1.019107068100445</c:v>
                </c:pt>
                <c:pt idx="14">
                  <c:v>1.0079487400136935</c:v>
                </c:pt>
                <c:pt idx="15">
                  <c:v>0.99387125424359168</c:v>
                </c:pt>
                <c:pt idx="16">
                  <c:v>0.97648042837499349</c:v>
                </c:pt>
                <c:pt idx="17">
                  <c:v>0.95580806737800017</c:v>
                </c:pt>
                <c:pt idx="18">
                  <c:v>0.93228547786559812</c:v>
                </c:pt>
                <c:pt idx="19">
                  <c:v>0.90652206960715209</c:v>
                </c:pt>
                <c:pt idx="20">
                  <c:v>0.87909739183256574</c:v>
                </c:pt>
                <c:pt idx="21">
                  <c:v>0.85047070236008082</c:v>
                </c:pt>
                <c:pt idx="22">
                  <c:v>0.82097599804024946</c:v>
                </c:pt>
                <c:pt idx="23">
                  <c:v>0.7908480349027357</c:v>
                </c:pt>
                <c:pt idx="24">
                  <c:v>0.76025072063394572</c:v>
                </c:pt>
                <c:pt idx="25">
                  <c:v>0.72929932845380219</c:v>
                </c:pt>
                <c:pt idx="26">
                  <c:v>0.69807605235913006</c:v>
                </c:pt>
                <c:pt idx="27">
                  <c:v>0.66664046852485881</c:v>
                </c:pt>
                <c:pt idx="28">
                  <c:v>0.6350364998788377</c:v>
                </c:pt>
                <c:pt idx="29">
                  <c:v>0.60329707087184514</c:v>
                </c:pt>
                <c:pt idx="30">
                  <c:v>0.57144725260717888</c:v>
                </c:pt>
                <c:pt idx="31">
                  <c:v>0.53950641730232785</c:v>
                </c:pt>
                <c:pt idx="32">
                  <c:v>0.5074897382948903</c:v>
                </c:pt>
                <c:pt idx="33">
                  <c:v>0.47540924855351274</c:v>
                </c:pt>
                <c:pt idx="34">
                  <c:v>0.44327460070692548</c:v>
                </c:pt>
                <c:pt idx="35">
                  <c:v>0.41109361931134247</c:v>
                </c:pt>
                <c:pt idx="36">
                  <c:v>0.37887270895494934</c:v>
                </c:pt>
                <c:pt idx="37">
                  <c:v>0.34661715857761116</c:v>
                </c:pt>
                <c:pt idx="38">
                  <c:v>0.31433137176595127</c:v>
                </c:pt>
                <c:pt idx="39">
                  <c:v>0.28201904285548235</c:v>
                </c:pt>
                <c:pt idx="40">
                  <c:v>0.24968329294608974</c:v>
                </c:pt>
                <c:pt idx="41">
                  <c:v>0.2173267760443012</c:v>
                </c:pt>
                <c:pt idx="42">
                  <c:v>0.18495176255547932</c:v>
                </c:pt>
                <c:pt idx="43">
                  <c:v>0.15256020585759511</c:v>
                </c:pt>
                <c:pt idx="44">
                  <c:v>0.12015379544200665</c:v>
                </c:pt>
                <c:pt idx="45">
                  <c:v>8.7733999514455055E-2</c:v>
                </c:pt>
                <c:pt idx="46">
                  <c:v>5.5302100076346866E-2</c:v>
                </c:pt>
                <c:pt idx="47">
                  <c:v>2.2859221304851549E-2</c:v>
                </c:pt>
                <c:pt idx="48">
                  <c:v>1.4320837608882477E-4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A2-4B75-97AB-B1D82A0D1AA8}"/>
            </c:ext>
          </c:extLst>
        </c:ser>
        <c:ser>
          <c:idx val="7"/>
          <c:order val="8"/>
          <c:tx>
            <c:strRef>
              <c:f>'Figure 4'!$S$80</c:f>
              <c:strCache>
                <c:ptCount val="1"/>
                <c:pt idx="0">
                  <c:v>biomass experimental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'Figure 4'!$O$82:$O$90</c:f>
              <c:numCache>
                <c:formatCode>0.0000000</c:formatCode>
                <c:ptCount val="9"/>
                <c:pt idx="0">
                  <c:v>4.8780487804878002E-2</c:v>
                </c:pt>
                <c:pt idx="1">
                  <c:v>9.7560975609756101E-2</c:v>
                </c:pt>
                <c:pt idx="2">
                  <c:v>0.142276422764227</c:v>
                </c:pt>
                <c:pt idx="3">
                  <c:v>0.18191056910569101</c:v>
                </c:pt>
                <c:pt idx="4">
                  <c:v>0.22662601626016199</c:v>
                </c:pt>
                <c:pt idx="5">
                  <c:v>0.26727642276422697</c:v>
                </c:pt>
                <c:pt idx="6">
                  <c:v>0.32317073170731703</c:v>
                </c:pt>
                <c:pt idx="7">
                  <c:v>0.361788617886178</c:v>
                </c:pt>
                <c:pt idx="8">
                  <c:v>0.401422764227642</c:v>
                </c:pt>
              </c:numCache>
            </c:numRef>
          </c:xVal>
          <c:yVal>
            <c:numRef>
              <c:f>'Figure 4'!$S$82:$S$90</c:f>
              <c:numCache>
                <c:formatCode>General</c:formatCode>
                <c:ptCount val="9"/>
                <c:pt idx="0">
                  <c:v>5.5417931739322419E-2</c:v>
                </c:pt>
                <c:pt idx="1">
                  <c:v>8.3413009547561895E-2</c:v>
                </c:pt>
                <c:pt idx="2">
                  <c:v>0.10396104877270226</c:v>
                </c:pt>
                <c:pt idx="3">
                  <c:v>0.12286719562304893</c:v>
                </c:pt>
                <c:pt idx="4">
                  <c:v>0.12927382715677371</c:v>
                </c:pt>
                <c:pt idx="5">
                  <c:v>0.11495685077577585</c:v>
                </c:pt>
                <c:pt idx="6">
                  <c:v>9.141439001165505E-2</c:v>
                </c:pt>
                <c:pt idx="7">
                  <c:v>7.4600436712159088E-2</c:v>
                </c:pt>
                <c:pt idx="8">
                  <c:v>5.3637860303283713E-2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EA-47C5-BAC3-BBB7B99F8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84240"/>
        <c:axId val="688278336"/>
      </c:scatterChart>
      <c:scatterChart>
        <c:scatterStyle val="lineMarker"/>
        <c:varyColors val="0"/>
        <c:ser>
          <c:idx val="8"/>
          <c:order val="6"/>
          <c:tx>
            <c:strRef>
              <c:f>'Figure 4'!$U$80</c:f>
              <c:strCache>
                <c:ptCount val="1"/>
                <c:pt idx="0">
                  <c:v>glucose experimental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'Figure 4'!$O$82:$O$90</c:f>
              <c:numCache>
                <c:formatCode>0.0000000</c:formatCode>
                <c:ptCount val="9"/>
                <c:pt idx="0">
                  <c:v>4.8780487804878002E-2</c:v>
                </c:pt>
                <c:pt idx="1">
                  <c:v>9.7560975609756101E-2</c:v>
                </c:pt>
                <c:pt idx="2">
                  <c:v>0.142276422764227</c:v>
                </c:pt>
                <c:pt idx="3">
                  <c:v>0.18191056910569101</c:v>
                </c:pt>
                <c:pt idx="4">
                  <c:v>0.22662601626016199</c:v>
                </c:pt>
                <c:pt idx="5">
                  <c:v>0.26727642276422697</c:v>
                </c:pt>
                <c:pt idx="6">
                  <c:v>0.32317073170731703</c:v>
                </c:pt>
                <c:pt idx="7">
                  <c:v>0.361788617886178</c:v>
                </c:pt>
                <c:pt idx="8">
                  <c:v>0.401422764227642</c:v>
                </c:pt>
              </c:numCache>
            </c:numRef>
          </c:xVal>
          <c:yVal>
            <c:numRef>
              <c:f>'Figure 4'!$U$82:$U$90</c:f>
              <c:numCache>
                <c:formatCode>General</c:formatCode>
                <c:ptCount val="9"/>
                <c:pt idx="0">
                  <c:v>3.9178492452403499E-3</c:v>
                </c:pt>
                <c:pt idx="1">
                  <c:v>4.9433455769662109E-3</c:v>
                </c:pt>
                <c:pt idx="2">
                  <c:v>3.0934861719468169E-3</c:v>
                </c:pt>
                <c:pt idx="3">
                  <c:v>5.6543941384668891E-3</c:v>
                </c:pt>
                <c:pt idx="4">
                  <c:v>4.8767733012879837E-2</c:v>
                </c:pt>
                <c:pt idx="5">
                  <c:v>0.12094057843658779</c:v>
                </c:pt>
                <c:pt idx="6">
                  <c:v>0.22923809021988054</c:v>
                </c:pt>
                <c:pt idx="7">
                  <c:v>0.29562622981656056</c:v>
                </c:pt>
                <c:pt idx="8">
                  <c:v>0.37505120399501607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EA-47C5-BAC3-BBB7B99F8311}"/>
            </c:ext>
          </c:extLst>
        </c:ser>
        <c:ser>
          <c:idx val="6"/>
          <c:order val="7"/>
          <c:tx>
            <c:strRef>
              <c:f>'Figure 4'!$Q$80</c:f>
              <c:strCache>
                <c:ptCount val="1"/>
                <c:pt idx="0">
                  <c:v>ethanol experimental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'Figure 4'!$O$82:$O$90</c:f>
              <c:numCache>
                <c:formatCode>0.0000000</c:formatCode>
                <c:ptCount val="9"/>
                <c:pt idx="0">
                  <c:v>4.8780487804878002E-2</c:v>
                </c:pt>
                <c:pt idx="1">
                  <c:v>9.7560975609756101E-2</c:v>
                </c:pt>
                <c:pt idx="2">
                  <c:v>0.142276422764227</c:v>
                </c:pt>
                <c:pt idx="3">
                  <c:v>0.18191056910569101</c:v>
                </c:pt>
                <c:pt idx="4">
                  <c:v>0.22662601626016199</c:v>
                </c:pt>
                <c:pt idx="5">
                  <c:v>0.26727642276422697</c:v>
                </c:pt>
                <c:pt idx="6">
                  <c:v>0.32317073170731703</c:v>
                </c:pt>
                <c:pt idx="7">
                  <c:v>0.361788617886178</c:v>
                </c:pt>
                <c:pt idx="8">
                  <c:v>0.401422764227642</c:v>
                </c:pt>
              </c:numCache>
            </c:numRef>
          </c:xVal>
          <c:yVal>
            <c:numRef>
              <c:f>'Figure 4'!$Q$82:$Q$90</c:f>
              <c:numCache>
                <c:formatCode>General</c:formatCode>
                <c:ptCount val="9"/>
                <c:pt idx="0">
                  <c:v>1.0433480864358218</c:v>
                </c:pt>
                <c:pt idx="1">
                  <c:v>1.0251236657120522</c:v>
                </c:pt>
                <c:pt idx="2">
                  <c:v>0.97956261390262822</c:v>
                </c:pt>
                <c:pt idx="3">
                  <c:v>1.0114553501692261</c:v>
                </c:pt>
                <c:pt idx="4">
                  <c:v>0.86565998437906733</c:v>
                </c:pt>
                <c:pt idx="5">
                  <c:v>0.73353293413173482</c:v>
                </c:pt>
                <c:pt idx="6">
                  <c:v>0.51028378026555432</c:v>
                </c:pt>
                <c:pt idx="7">
                  <c:v>0.39182504556105002</c:v>
                </c:pt>
                <c:pt idx="8">
                  <c:v>0.25969799531371957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EA-47C5-BAC3-BBB7B99F8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605856"/>
        <c:axId val="603603888"/>
      </c:scatterChart>
      <c:valAx>
        <c:axId val="688284240"/>
        <c:scaling>
          <c:orientation val="minMax"/>
          <c:max val="0.5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Dilution rate (h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278336"/>
        <c:crosses val="autoZero"/>
        <c:crossBetween val="midCat"/>
      </c:valAx>
      <c:valAx>
        <c:axId val="688278336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(mol/L)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284240"/>
        <c:crossesAt val="0"/>
        <c:crossBetween val="midCat"/>
      </c:valAx>
      <c:valAx>
        <c:axId val="603603888"/>
        <c:scaling>
          <c:orientation val="minMax"/>
          <c:max val="1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603605856"/>
        <c:crosses val="max"/>
        <c:crossBetween val="midCat"/>
      </c:valAx>
      <c:valAx>
        <c:axId val="603605856"/>
        <c:scaling>
          <c:orientation val="minMax"/>
        </c:scaling>
        <c:delete val="1"/>
        <c:axPos val="b"/>
        <c:numFmt formatCode="0.0000000" sourceLinked="1"/>
        <c:majorTickMark val="out"/>
        <c:minorTickMark val="none"/>
        <c:tickLblPos val="nextTo"/>
        <c:crossAx val="6036038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4.37 g/L ethanol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'Bazua 1975'!$A$6:$A$10</c:f>
              <c:numCache>
                <c:formatCode>General</c:formatCode>
                <c:ptCount val="5"/>
                <c:pt idx="0">
                  <c:v>7.1999999999999995E-2</c:v>
                </c:pt>
                <c:pt idx="1">
                  <c:v>0.192</c:v>
                </c:pt>
                <c:pt idx="2">
                  <c:v>0.26400000000000001</c:v>
                </c:pt>
                <c:pt idx="3">
                  <c:v>0.27</c:v>
                </c:pt>
                <c:pt idx="4">
                  <c:v>0.42</c:v>
                </c:pt>
              </c:numCache>
            </c:numRef>
          </c:xVal>
          <c:yVal>
            <c:numRef>
              <c:f>'Bazua 1975'!$H$6:$H$10</c:f>
              <c:numCache>
                <c:formatCode>General</c:formatCode>
                <c:ptCount val="5"/>
                <c:pt idx="0">
                  <c:v>0.44889599999999996</c:v>
                </c:pt>
                <c:pt idx="1">
                  <c:v>1.2576000000000003</c:v>
                </c:pt>
                <c:pt idx="2">
                  <c:v>1.8760629921259844</c:v>
                </c:pt>
                <c:pt idx="3">
                  <c:v>1.8984375000000002</c:v>
                </c:pt>
                <c:pt idx="4">
                  <c:v>2.9826086956521745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F4-4A4D-A8E6-5C7B9BFDC7D4}"/>
            </c:ext>
          </c:extLst>
        </c:ser>
        <c:ser>
          <c:idx val="1"/>
          <c:order val="1"/>
          <c:tx>
            <c:v>29.19 g/L ethanol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'Bazua 1975'!$A$11:$A$15</c:f>
              <c:numCache>
                <c:formatCode>General</c:formatCode>
                <c:ptCount val="5"/>
                <c:pt idx="0">
                  <c:v>0.06</c:v>
                </c:pt>
                <c:pt idx="1">
                  <c:v>0.13200000000000001</c:v>
                </c:pt>
                <c:pt idx="2">
                  <c:v>0.252</c:v>
                </c:pt>
                <c:pt idx="3">
                  <c:v>0.312</c:v>
                </c:pt>
                <c:pt idx="4">
                  <c:v>0.376</c:v>
                </c:pt>
              </c:numCache>
            </c:numRef>
          </c:xVal>
          <c:yVal>
            <c:numRef>
              <c:f>'Bazua 1975'!$H$11:$H$15</c:f>
              <c:numCache>
                <c:formatCode>General</c:formatCode>
                <c:ptCount val="5"/>
                <c:pt idx="0">
                  <c:v>0.39152173913043486</c:v>
                </c:pt>
                <c:pt idx="1">
                  <c:v>0.9427968000000001</c:v>
                </c:pt>
                <c:pt idx="2">
                  <c:v>2.3482565217391302</c:v>
                </c:pt>
                <c:pt idx="3">
                  <c:v>2.5163478260869572</c:v>
                </c:pt>
                <c:pt idx="4">
                  <c:v>4.7835555555555578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F4-4A4D-A8E6-5C7B9BFDC7D4}"/>
            </c:ext>
          </c:extLst>
        </c:ser>
        <c:ser>
          <c:idx val="2"/>
          <c:order val="2"/>
          <c:tx>
            <c:v>61.29 g/L ethanol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'Bazua 1975'!$A$16:$A$19</c:f>
              <c:numCache>
                <c:formatCode>General</c:formatCode>
                <c:ptCount val="4"/>
                <c:pt idx="0">
                  <c:v>7.2999999999999995E-2</c:v>
                </c:pt>
                <c:pt idx="1">
                  <c:v>0.13800000000000001</c:v>
                </c:pt>
                <c:pt idx="2">
                  <c:v>0.20200000000000001</c:v>
                </c:pt>
                <c:pt idx="3">
                  <c:v>0.25800000000000001</c:v>
                </c:pt>
              </c:numCache>
            </c:numRef>
          </c:xVal>
          <c:yVal>
            <c:numRef>
              <c:f>'Bazua 1975'!$H$16:$H$19</c:f>
              <c:numCache>
                <c:formatCode>General</c:formatCode>
                <c:ptCount val="4"/>
                <c:pt idx="0">
                  <c:v>0.51118559322033896</c:v>
                </c:pt>
                <c:pt idx="1">
                  <c:v>1.0825631067961166</c:v>
                </c:pt>
                <c:pt idx="2">
                  <c:v>2.340823529411765</c:v>
                </c:pt>
                <c:pt idx="3">
                  <c:v>2.9946428571428569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F4-4A4D-A8E6-5C7B9BFDC7D4}"/>
            </c:ext>
          </c:extLst>
        </c:ser>
        <c:ser>
          <c:idx val="3"/>
          <c:order val="3"/>
          <c:tx>
            <c:v>78.4 g/L ethanol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'Bazua 1975'!$A$20:$A$25</c:f>
              <c:numCache>
                <c:formatCode>General</c:formatCode>
                <c:ptCount val="6"/>
                <c:pt idx="0">
                  <c:v>3.7999999999999999E-2</c:v>
                </c:pt>
                <c:pt idx="1">
                  <c:v>6.9000000000000006E-2</c:v>
                </c:pt>
                <c:pt idx="2">
                  <c:v>7.3999999999999996E-2</c:v>
                </c:pt>
                <c:pt idx="3">
                  <c:v>9.6000000000000002E-2</c:v>
                </c:pt>
                <c:pt idx="4">
                  <c:v>0.10100000000000001</c:v>
                </c:pt>
                <c:pt idx="5">
                  <c:v>0.13800000000000001</c:v>
                </c:pt>
              </c:numCache>
            </c:numRef>
          </c:xVal>
          <c:yVal>
            <c:numRef>
              <c:f>'Bazua 1975'!$I$20:$I$25</c:f>
              <c:numCache>
                <c:formatCode>General</c:formatCode>
                <c:ptCount val="6"/>
                <c:pt idx="0">
                  <c:v>0.14163636363636392</c:v>
                </c:pt>
                <c:pt idx="1">
                  <c:v>0.34942307692307717</c:v>
                </c:pt>
                <c:pt idx="2">
                  <c:v>0.324777777777778</c:v>
                </c:pt>
                <c:pt idx="3">
                  <c:v>0.4622222222222237</c:v>
                </c:pt>
                <c:pt idx="4">
                  <c:v>0.67333333333333556</c:v>
                </c:pt>
                <c:pt idx="5">
                  <c:v>0.84923076923076624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BF4-4A4D-A8E6-5C7B9BFDC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307512"/>
        <c:axId val="753309480"/>
      </c:scatterChart>
      <c:valAx>
        <c:axId val="753307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 (h-1)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309480"/>
        <c:crosses val="autoZero"/>
        <c:crossBetween val="midCat"/>
      </c:valAx>
      <c:valAx>
        <c:axId val="7533094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-qP (g/g 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307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'Bazua 1975'!$A$61:$A$64</c:f>
              <c:numCache>
                <c:formatCode>General</c:formatCode>
                <c:ptCount val="4"/>
                <c:pt idx="0">
                  <c:v>4.37</c:v>
                </c:pt>
                <c:pt idx="1">
                  <c:v>29.19</c:v>
                </c:pt>
                <c:pt idx="2">
                  <c:v>61.29</c:v>
                </c:pt>
                <c:pt idx="3">
                  <c:v>78.400000000000006</c:v>
                </c:pt>
              </c:numCache>
            </c:numRef>
          </c:xVal>
          <c:yVal>
            <c:numRef>
              <c:f>'Bazua 1975'!$C$61:$C$64</c:f>
              <c:numCache>
                <c:formatCode>General</c:formatCode>
                <c:ptCount val="4"/>
                <c:pt idx="0">
                  <c:v>7.3453999999999997</c:v>
                </c:pt>
                <c:pt idx="1">
                  <c:v>12.499000000000001</c:v>
                </c:pt>
                <c:pt idx="2">
                  <c:v>14.066000000000001</c:v>
                </c:pt>
                <c:pt idx="3">
                  <c:v>31.725000000000001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D8-4953-B616-9A80CF250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114584"/>
        <c:axId val="747118520"/>
      </c:scatterChart>
      <c:valAx>
        <c:axId val="747114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cP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7118520"/>
        <c:crosses val="autoZero"/>
        <c:crossBetween val="midCat"/>
      </c:valAx>
      <c:valAx>
        <c:axId val="747118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1/Yxsmax (g/g)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7114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'Bazua 1975'!$A$61:$A$64</c:f>
              <c:numCache>
                <c:formatCode>General</c:formatCode>
                <c:ptCount val="4"/>
                <c:pt idx="0">
                  <c:v>4.37</c:v>
                </c:pt>
                <c:pt idx="1">
                  <c:v>29.19</c:v>
                </c:pt>
                <c:pt idx="2">
                  <c:v>61.29</c:v>
                </c:pt>
                <c:pt idx="3">
                  <c:v>78.400000000000006</c:v>
                </c:pt>
              </c:numCache>
            </c:numRef>
          </c:xVal>
          <c:yVal>
            <c:numRef>
              <c:f>'Bazua 1975'!$D$61:$D$64</c:f>
              <c:numCache>
                <c:formatCode>General</c:formatCode>
                <c:ptCount val="4"/>
                <c:pt idx="0">
                  <c:v>0.13613962479919406</c:v>
                </c:pt>
                <c:pt idx="1">
                  <c:v>8.0006400512040957E-2</c:v>
                </c:pt>
                <c:pt idx="2">
                  <c:v>7.1093416749608979E-2</c:v>
                </c:pt>
                <c:pt idx="3">
                  <c:v>3.1520882584712369E-2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CE-4729-BA6C-456C9D662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114584"/>
        <c:axId val="747118520"/>
      </c:scatterChart>
      <c:valAx>
        <c:axId val="747114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cP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7118520"/>
        <c:crosses val="autoZero"/>
        <c:crossBetween val="midCat"/>
      </c:valAx>
      <c:valAx>
        <c:axId val="747118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1/Yxsmax (g/g)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7114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'Fieschko 1983'!$A$43</c:f>
              <c:strCache>
                <c:ptCount val="1"/>
                <c:pt idx="0">
                  <c:v>9.2 g/L EtOH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0125984251968508E-2"/>
                  <c:y val="0.16653834937299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'Fieschko 1983'!$A$45:$A$50</c:f>
              <c:numCache>
                <c:formatCode>General</c:formatCode>
                <c:ptCount val="6"/>
                <c:pt idx="0">
                  <c:v>2.0806979280261699E-2</c:v>
                </c:pt>
                <c:pt idx="1">
                  <c:v>3.8996728462377298E-2</c:v>
                </c:pt>
                <c:pt idx="2">
                  <c:v>4.9858233369683702E-2</c:v>
                </c:pt>
                <c:pt idx="3">
                  <c:v>6.3991275899672795E-2</c:v>
                </c:pt>
                <c:pt idx="4">
                  <c:v>7.2889858233369603E-2</c:v>
                </c:pt>
                <c:pt idx="5">
                  <c:v>9.7360959651035903E-2</c:v>
                </c:pt>
              </c:numCache>
            </c:numRef>
          </c:xVal>
          <c:yVal>
            <c:numRef>
              <c:f>'Fieschko 1983'!$B$45:$B$50</c:f>
              <c:numCache>
                <c:formatCode>General</c:formatCode>
                <c:ptCount val="6"/>
                <c:pt idx="0">
                  <c:v>1.8739352640545099</c:v>
                </c:pt>
                <c:pt idx="1">
                  <c:v>3.5434412265758102</c:v>
                </c:pt>
                <c:pt idx="2">
                  <c:v>4.0374787052810897</c:v>
                </c:pt>
                <c:pt idx="3">
                  <c:v>4.9914821124361097</c:v>
                </c:pt>
                <c:pt idx="4">
                  <c:v>5.5536626916524696</c:v>
                </c:pt>
                <c:pt idx="5">
                  <c:v>7.4787052810902903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E3-4A87-BE3A-2DFF788CE89B}"/>
            </c:ext>
          </c:extLst>
        </c:ser>
        <c:ser>
          <c:idx val="1"/>
          <c:order val="1"/>
          <c:tx>
            <c:strRef>
              <c:f>'Fieschko 1983'!$C$43</c:f>
              <c:strCache>
                <c:ptCount val="1"/>
                <c:pt idx="0">
                  <c:v>18.2 g/L EtOH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'Fieschko 1983'!$C$45:$C$48</c:f>
              <c:numCache>
                <c:formatCode>General</c:formatCode>
                <c:ptCount val="4"/>
                <c:pt idx="0">
                  <c:v>2.1853871319520098E-2</c:v>
                </c:pt>
                <c:pt idx="1">
                  <c:v>4.6979280261723003E-2</c:v>
                </c:pt>
                <c:pt idx="2">
                  <c:v>6.3991275899672795E-2</c:v>
                </c:pt>
                <c:pt idx="3">
                  <c:v>0.10298800436205</c:v>
                </c:pt>
              </c:numCache>
            </c:numRef>
          </c:xVal>
          <c:yVal>
            <c:numRef>
              <c:f>'Fieschko 1983'!$D$45:$D$48</c:f>
              <c:numCache>
                <c:formatCode>General</c:formatCode>
                <c:ptCount val="4"/>
                <c:pt idx="0">
                  <c:v>2.9471890971039101</c:v>
                </c:pt>
                <c:pt idx="1">
                  <c:v>4.6507666098807396</c:v>
                </c:pt>
                <c:pt idx="2">
                  <c:v>7.0357751277683098</c:v>
                </c:pt>
                <c:pt idx="3">
                  <c:v>9.2844974446337307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E3-4A87-BE3A-2DFF788CE89B}"/>
            </c:ext>
          </c:extLst>
        </c:ser>
        <c:ser>
          <c:idx val="2"/>
          <c:order val="2"/>
          <c:tx>
            <c:strRef>
              <c:f>'Fieschko 1983'!$E$43</c:f>
              <c:strCache>
                <c:ptCount val="1"/>
                <c:pt idx="0">
                  <c:v>27.0 g/L EtOH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15997375328084"/>
                  <c:y val="0.167783610382035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'Fieschko 1983'!$E$45:$E$50</c:f>
              <c:numCache>
                <c:formatCode>General</c:formatCode>
                <c:ptCount val="6"/>
                <c:pt idx="0">
                  <c:v>1.00763358778625E-2</c:v>
                </c:pt>
                <c:pt idx="1">
                  <c:v>2.6434023991275899E-2</c:v>
                </c:pt>
                <c:pt idx="2">
                  <c:v>3.72955288985823E-2</c:v>
                </c:pt>
                <c:pt idx="3">
                  <c:v>4.9989094874591002E-2</c:v>
                </c:pt>
                <c:pt idx="4">
                  <c:v>6.1504907306434001E-2</c:v>
                </c:pt>
                <c:pt idx="5">
                  <c:v>7.3805888767720804E-2</c:v>
                </c:pt>
              </c:numCache>
            </c:numRef>
          </c:xVal>
          <c:yVal>
            <c:numRef>
              <c:f>'Fieschko 1983'!$F$45:$F$50</c:f>
              <c:numCache>
                <c:formatCode>General</c:formatCode>
                <c:ptCount val="6"/>
                <c:pt idx="0">
                  <c:v>3.4241908006814299</c:v>
                </c:pt>
                <c:pt idx="1">
                  <c:v>4.1396933560477001</c:v>
                </c:pt>
                <c:pt idx="2">
                  <c:v>5.4003407155025496</c:v>
                </c:pt>
                <c:pt idx="3">
                  <c:v>6.6098807495741001</c:v>
                </c:pt>
                <c:pt idx="4">
                  <c:v>8.0919931856899492</c:v>
                </c:pt>
                <c:pt idx="5">
                  <c:v>9.0119250425894304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E3-4A87-BE3A-2DFF788CE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623648"/>
        <c:axId val="550626600"/>
      </c:scatterChart>
      <c:valAx>
        <c:axId val="55062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 (h-1)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626600"/>
        <c:crosses val="autoZero"/>
        <c:crossBetween val="midCat"/>
      </c:valAx>
      <c:valAx>
        <c:axId val="550626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-qs</a:t>
                </a:r>
                <a:r>
                  <a:rPr lang="en-GB" baseline="0"/>
                  <a:t> (g g 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62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0.55000000000000004</c:v>
                </c:pt>
              </c:numLit>
            </c:plus>
            <c:minus>
              <c:numLit>
                <c:formatCode>General</c:formatCode>
                <c:ptCount val="1"/>
                <c:pt idx="0">
                  <c:v>0.55000000000000004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'Fieschko 1983'!$A$54:$A$56</c:f>
              <c:numCache>
                <c:formatCode>General</c:formatCode>
                <c:ptCount val="3"/>
                <c:pt idx="0">
                  <c:v>9.1999999999999993</c:v>
                </c:pt>
                <c:pt idx="1">
                  <c:v>18.2</c:v>
                </c:pt>
                <c:pt idx="2">
                  <c:v>27</c:v>
                </c:pt>
              </c:numCache>
            </c:numRef>
          </c:xVal>
          <c:yVal>
            <c:numRef>
              <c:f>'Fieschko 1983'!$B$54:$B$56</c:f>
              <c:numCache>
                <c:formatCode>General</c:formatCode>
                <c:ptCount val="3"/>
                <c:pt idx="0">
                  <c:v>0.52349999999999997</c:v>
                </c:pt>
                <c:pt idx="1">
                  <c:v>1.2544</c:v>
                </c:pt>
                <c:pt idx="2">
                  <c:v>2.0859000000000001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1D-4E0B-8B55-B465A4497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97136"/>
        <c:axId val="561101728"/>
      </c:scatterChart>
      <c:valAx>
        <c:axId val="561097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Cp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101728"/>
        <c:crosses val="autoZero"/>
        <c:crossBetween val="midCat"/>
      </c:valAx>
      <c:valAx>
        <c:axId val="56110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ms (g / g 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97136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0.55000000000000004</c:v>
                </c:pt>
              </c:numLit>
            </c:plus>
            <c:minus>
              <c:numLit>
                <c:formatCode>General</c:formatCode>
                <c:ptCount val="1"/>
                <c:pt idx="0">
                  <c:v>0.55000000000000004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'Fieschko 1983'!$A$54:$A$56</c:f>
              <c:numCache>
                <c:formatCode>General</c:formatCode>
                <c:ptCount val="3"/>
                <c:pt idx="0">
                  <c:v>9.1999999999999993</c:v>
                </c:pt>
                <c:pt idx="1">
                  <c:v>18.2</c:v>
                </c:pt>
                <c:pt idx="2">
                  <c:v>27</c:v>
                </c:pt>
              </c:numCache>
            </c:numRef>
          </c:xVal>
          <c:yVal>
            <c:numRef>
              <c:f>'Fieschko 1983'!$E$54:$E$56</c:f>
              <c:numCache>
                <c:formatCode>General</c:formatCode>
                <c:ptCount val="3"/>
                <c:pt idx="0">
                  <c:v>70.77</c:v>
                </c:pt>
                <c:pt idx="1">
                  <c:v>80.152000000000001</c:v>
                </c:pt>
                <c:pt idx="2">
                  <c:v>93.254000000000005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78-4644-BDD3-402732CF8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97136"/>
        <c:axId val="561101728"/>
      </c:scatterChart>
      <c:valAx>
        <c:axId val="561097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Cp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101728"/>
        <c:crosses val="autoZero"/>
        <c:crossBetween val="midCat"/>
      </c:valAx>
      <c:valAx>
        <c:axId val="56110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</a:t>
                </a:r>
                <a:r>
                  <a:rPr lang="en-US" baseline="-25000"/>
                  <a:t>s</a:t>
                </a:r>
                <a:r>
                  <a:rPr lang="en-US"/>
                  <a:t> (g / g)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27348864449795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97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cp=6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'Ghose 1979'!$A$30:$A$32</c:f>
              <c:numCache>
                <c:formatCode>General</c:formatCode>
                <c:ptCount val="3"/>
                <c:pt idx="0">
                  <c:v>0.141867866104191</c:v>
                </c:pt>
                <c:pt idx="1">
                  <c:v>0.18601881760862099</c:v>
                </c:pt>
                <c:pt idx="2">
                  <c:v>0.24177356319369298</c:v>
                </c:pt>
              </c:numCache>
            </c:numRef>
          </c:xVal>
          <c:yVal>
            <c:numRef>
              <c:f>'Ghose 1979'!$O$7:$O$10</c:f>
              <c:numCache>
                <c:formatCode>General</c:formatCode>
                <c:ptCount val="4"/>
                <c:pt idx="0">
                  <c:v>0.90545669081878466</c:v>
                </c:pt>
                <c:pt idx="1">
                  <c:v>1.2436269401757083</c:v>
                </c:pt>
                <c:pt idx="2">
                  <c:v>1.7911823736357193</c:v>
                </c:pt>
                <c:pt idx="3">
                  <c:v>1.9881874398671708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2B-4C2B-9EE2-D96371728AF0}"/>
            </c:ext>
          </c:extLst>
        </c:ser>
        <c:ser>
          <c:idx val="1"/>
          <c:order val="1"/>
          <c:tx>
            <c:v>cp=22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'Ghose 1979'!$A$33:$A$36</c:f>
              <c:numCache>
                <c:formatCode>General</c:formatCode>
                <c:ptCount val="4"/>
                <c:pt idx="0">
                  <c:v>9.1292379608607047E-2</c:v>
                </c:pt>
                <c:pt idx="1">
                  <c:v>0.14116978582495898</c:v>
                </c:pt>
                <c:pt idx="2">
                  <c:v>0.18621697309144</c:v>
                </c:pt>
                <c:pt idx="3">
                  <c:v>0.24339605073735299</c:v>
                </c:pt>
              </c:numCache>
            </c:numRef>
          </c:xVal>
          <c:yVal>
            <c:numRef>
              <c:f>'Ghose 1979'!$O$11:$O$15</c:f>
              <c:numCache>
                <c:formatCode>General</c:formatCode>
                <c:ptCount val="5"/>
                <c:pt idx="0">
                  <c:v>0.59756215990030648</c:v>
                </c:pt>
                <c:pt idx="1">
                  <c:v>1.000775408894776</c:v>
                </c:pt>
                <c:pt idx="2">
                  <c:v>1.5437107903333249</c:v>
                </c:pt>
                <c:pt idx="3">
                  <c:v>2.4067383773908619</c:v>
                </c:pt>
                <c:pt idx="4">
                  <c:v>3.264929014491794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2B-4C2B-9EE2-D96371728AF0}"/>
            </c:ext>
          </c:extLst>
        </c:ser>
        <c:ser>
          <c:idx val="2"/>
          <c:order val="2"/>
          <c:tx>
            <c:v>cp=33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'Ghose 1979'!$A$37:$A$39</c:f>
              <c:numCache>
                <c:formatCode>General</c:formatCode>
                <c:ptCount val="3"/>
                <c:pt idx="0">
                  <c:v>9.0320701518157451E-2</c:v>
                </c:pt>
                <c:pt idx="1">
                  <c:v>0.14116978582495898</c:v>
                </c:pt>
                <c:pt idx="2">
                  <c:v>0.18656601323105648</c:v>
                </c:pt>
              </c:numCache>
            </c:numRef>
          </c:xVal>
          <c:yVal>
            <c:numRef>
              <c:f>'Ghose 1979'!$O$16:$O$19</c:f>
              <c:numCache>
                <c:formatCode>General</c:formatCode>
                <c:ptCount val="4"/>
                <c:pt idx="0">
                  <c:v>0.61349528746296911</c:v>
                </c:pt>
                <c:pt idx="1">
                  <c:v>1.0400502552190805</c:v>
                </c:pt>
                <c:pt idx="2">
                  <c:v>1.8691788362785768</c:v>
                </c:pt>
                <c:pt idx="3">
                  <c:v>-0.39231804688774907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2B-4C2B-9EE2-D96371728AF0}"/>
            </c:ext>
          </c:extLst>
        </c:ser>
        <c:ser>
          <c:idx val="3"/>
          <c:order val="3"/>
          <c:tx>
            <c:v>cp=60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'Ghose 1979'!$A$40:$A$43</c:f>
              <c:numCache>
                <c:formatCode>General</c:formatCode>
                <c:ptCount val="4"/>
                <c:pt idx="0">
                  <c:v>6.676407321725715E-2</c:v>
                </c:pt>
                <c:pt idx="1">
                  <c:v>8.9971661378541401E-2</c:v>
                </c:pt>
                <c:pt idx="2">
                  <c:v>0.142490504055025</c:v>
                </c:pt>
              </c:numCache>
            </c:numRef>
          </c:xVal>
          <c:yVal>
            <c:numRef>
              <c:f>'Ghose 1979'!$O$20:$O$23</c:f>
              <c:numCache>
                <c:formatCode>General</c:formatCode>
                <c:ptCount val="4"/>
                <c:pt idx="0">
                  <c:v>0.50949429195589691</c:v>
                </c:pt>
                <c:pt idx="1">
                  <c:v>0.77440448977713738</c:v>
                </c:pt>
                <c:pt idx="2">
                  <c:v>1.3056139533773163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2B-4C2B-9EE2-D96371728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967256"/>
        <c:axId val="696967584"/>
      </c:scatterChart>
      <c:valAx>
        <c:axId val="69696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967584"/>
        <c:crosses val="autoZero"/>
        <c:crossBetween val="midCat"/>
      </c:valAx>
      <c:valAx>
        <c:axId val="69696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967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'Figure 1'!$B$3</c:f>
              <c:strCache>
                <c:ptCount val="1"/>
                <c:pt idx="0">
                  <c:v>Eq.1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1'!$A$4:$A$26</c:f>
              <c:numCache>
                <c:formatCode>General</c:formatCode>
                <c:ptCount val="23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0.15000000000000002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0.35</c:v>
                </c:pt>
                <c:pt idx="9">
                  <c:v>0.39999999999999997</c:v>
                </c:pt>
                <c:pt idx="10">
                  <c:v>0.44999999999999996</c:v>
                </c:pt>
                <c:pt idx="11">
                  <c:v>0.49999999999999994</c:v>
                </c:pt>
                <c:pt idx="12">
                  <c:v>0.54999999999999993</c:v>
                </c:pt>
                <c:pt idx="13">
                  <c:v>0.6</c:v>
                </c:pt>
                <c:pt idx="14">
                  <c:v>0.65</c:v>
                </c:pt>
                <c:pt idx="15">
                  <c:v>0.70000000000000007</c:v>
                </c:pt>
                <c:pt idx="16">
                  <c:v>0.75000000000000011</c:v>
                </c:pt>
                <c:pt idx="17">
                  <c:v>0.80000000000000016</c:v>
                </c:pt>
                <c:pt idx="18">
                  <c:v>0.8500000000000002</c:v>
                </c:pt>
                <c:pt idx="19">
                  <c:v>0.90000000000000024</c:v>
                </c:pt>
                <c:pt idx="20">
                  <c:v>0.95000000000000029</c:v>
                </c:pt>
                <c:pt idx="21">
                  <c:v>0.98</c:v>
                </c:pt>
                <c:pt idx="22">
                  <c:v>1.0000000000000002</c:v>
                </c:pt>
              </c:numCache>
            </c:numRef>
          </c:xVal>
          <c:yVal>
            <c:numRef>
              <c:f>'Figure 1'!$B$4:$B$26</c:f>
              <c:numCache>
                <c:formatCode>General</c:formatCode>
                <c:ptCount val="23"/>
                <c:pt idx="0">
                  <c:v>1</c:v>
                </c:pt>
                <c:pt idx="1">
                  <c:v>0.98</c:v>
                </c:pt>
                <c:pt idx="2">
                  <c:v>0.95</c:v>
                </c:pt>
                <c:pt idx="3">
                  <c:v>0.9</c:v>
                </c:pt>
                <c:pt idx="4">
                  <c:v>0.85</c:v>
                </c:pt>
                <c:pt idx="5">
                  <c:v>0.8</c:v>
                </c:pt>
                <c:pt idx="6">
                  <c:v>0.75</c:v>
                </c:pt>
                <c:pt idx="7">
                  <c:v>0.7</c:v>
                </c:pt>
                <c:pt idx="8">
                  <c:v>0.65</c:v>
                </c:pt>
                <c:pt idx="9">
                  <c:v>0.60000000000000009</c:v>
                </c:pt>
                <c:pt idx="10">
                  <c:v>0.55000000000000004</c:v>
                </c:pt>
                <c:pt idx="11">
                  <c:v>0.5</c:v>
                </c:pt>
                <c:pt idx="12">
                  <c:v>0.45000000000000007</c:v>
                </c:pt>
                <c:pt idx="13">
                  <c:v>0.4</c:v>
                </c:pt>
                <c:pt idx="14">
                  <c:v>0.35</c:v>
                </c:pt>
                <c:pt idx="15">
                  <c:v>0.29999999999999993</c:v>
                </c:pt>
                <c:pt idx="16">
                  <c:v>0.24999999999999989</c:v>
                </c:pt>
                <c:pt idx="17">
                  <c:v>0.19999999999999984</c:v>
                </c:pt>
                <c:pt idx="18">
                  <c:v>0.1499999999999998</c:v>
                </c:pt>
                <c:pt idx="19">
                  <c:v>9.9999999999999756E-2</c:v>
                </c:pt>
                <c:pt idx="20">
                  <c:v>4.9999999999999711E-2</c:v>
                </c:pt>
                <c:pt idx="21">
                  <c:v>2.0000000000000018E-2</c:v>
                </c:pt>
                <c:pt idx="2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0E-4094-9DCE-72D493D0E628}"/>
            </c:ext>
          </c:extLst>
        </c:ser>
        <c:ser>
          <c:idx val="1"/>
          <c:order val="1"/>
          <c:tx>
            <c:strRef>
              <c:f>'Figure 1'!$C$3</c:f>
              <c:strCache>
                <c:ptCount val="1"/>
                <c:pt idx="0">
                  <c:v>Eq.2, n=0.5</c:v>
                </c:pt>
              </c:strCache>
            </c:strRef>
          </c:tx>
          <c:spPr>
            <a:ln w="254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'Figure 1'!$A$4:$A$26</c:f>
              <c:numCache>
                <c:formatCode>General</c:formatCode>
                <c:ptCount val="23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0.15000000000000002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0.35</c:v>
                </c:pt>
                <c:pt idx="9">
                  <c:v>0.39999999999999997</c:v>
                </c:pt>
                <c:pt idx="10">
                  <c:v>0.44999999999999996</c:v>
                </c:pt>
                <c:pt idx="11">
                  <c:v>0.49999999999999994</c:v>
                </c:pt>
                <c:pt idx="12">
                  <c:v>0.54999999999999993</c:v>
                </c:pt>
                <c:pt idx="13">
                  <c:v>0.6</c:v>
                </c:pt>
                <c:pt idx="14">
                  <c:v>0.65</c:v>
                </c:pt>
                <c:pt idx="15">
                  <c:v>0.70000000000000007</c:v>
                </c:pt>
                <c:pt idx="16">
                  <c:v>0.75000000000000011</c:v>
                </c:pt>
                <c:pt idx="17">
                  <c:v>0.80000000000000016</c:v>
                </c:pt>
                <c:pt idx="18">
                  <c:v>0.8500000000000002</c:v>
                </c:pt>
                <c:pt idx="19">
                  <c:v>0.90000000000000024</c:v>
                </c:pt>
                <c:pt idx="20">
                  <c:v>0.95000000000000029</c:v>
                </c:pt>
                <c:pt idx="21">
                  <c:v>0.98</c:v>
                </c:pt>
                <c:pt idx="22">
                  <c:v>1.0000000000000002</c:v>
                </c:pt>
              </c:numCache>
            </c:numRef>
          </c:xVal>
          <c:yVal>
            <c:numRef>
              <c:f>'Figure 1'!$C$4:$C$26</c:f>
              <c:numCache>
                <c:formatCode>General</c:formatCode>
                <c:ptCount val="23"/>
                <c:pt idx="0">
                  <c:v>1</c:v>
                </c:pt>
                <c:pt idx="1">
                  <c:v>0.98994949366116658</c:v>
                </c:pt>
                <c:pt idx="2">
                  <c:v>0.97467943448089633</c:v>
                </c:pt>
                <c:pt idx="3">
                  <c:v>0.94868329805051377</c:v>
                </c:pt>
                <c:pt idx="4">
                  <c:v>0.92195444572928875</c:v>
                </c:pt>
                <c:pt idx="5">
                  <c:v>0.89442719099991586</c:v>
                </c:pt>
                <c:pt idx="6">
                  <c:v>0.8660254037844386</c:v>
                </c:pt>
                <c:pt idx="7">
                  <c:v>0.83666002653407556</c:v>
                </c:pt>
                <c:pt idx="8">
                  <c:v>0.80622577482985502</c:v>
                </c:pt>
                <c:pt idx="9">
                  <c:v>0.7745966692414834</c:v>
                </c:pt>
                <c:pt idx="10">
                  <c:v>0.74161984870956632</c:v>
                </c:pt>
                <c:pt idx="11">
                  <c:v>0.70710678118654757</c:v>
                </c:pt>
                <c:pt idx="12">
                  <c:v>0.67082039324993692</c:v>
                </c:pt>
                <c:pt idx="13">
                  <c:v>0.63245553203367588</c:v>
                </c:pt>
                <c:pt idx="14">
                  <c:v>0.59160797830996159</c:v>
                </c:pt>
                <c:pt idx="15">
                  <c:v>0.54772255750516607</c:v>
                </c:pt>
                <c:pt idx="16">
                  <c:v>0.49999999999999989</c:v>
                </c:pt>
                <c:pt idx="17">
                  <c:v>0.44721359549995776</c:v>
                </c:pt>
                <c:pt idx="18">
                  <c:v>0.38729833462074142</c:v>
                </c:pt>
                <c:pt idx="19">
                  <c:v>0.31622776601683755</c:v>
                </c:pt>
                <c:pt idx="20">
                  <c:v>0.22360679774997833</c:v>
                </c:pt>
                <c:pt idx="21">
                  <c:v>0.14142135623730956</c:v>
                </c:pt>
                <c:pt idx="2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0E-4094-9DCE-72D493D0E628}"/>
            </c:ext>
          </c:extLst>
        </c:ser>
        <c:ser>
          <c:idx val="3"/>
          <c:order val="2"/>
          <c:tx>
            <c:strRef>
              <c:f>'Figure 1'!$D$3</c:f>
              <c:strCache>
                <c:ptCount val="1"/>
                <c:pt idx="0">
                  <c:v>Eq.2, n=2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'Figure 1'!$A$4:$A$26</c:f>
              <c:numCache>
                <c:formatCode>General</c:formatCode>
                <c:ptCount val="23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0.15000000000000002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0.35</c:v>
                </c:pt>
                <c:pt idx="9">
                  <c:v>0.39999999999999997</c:v>
                </c:pt>
                <c:pt idx="10">
                  <c:v>0.44999999999999996</c:v>
                </c:pt>
                <c:pt idx="11">
                  <c:v>0.49999999999999994</c:v>
                </c:pt>
                <c:pt idx="12">
                  <c:v>0.54999999999999993</c:v>
                </c:pt>
                <c:pt idx="13">
                  <c:v>0.6</c:v>
                </c:pt>
                <c:pt idx="14">
                  <c:v>0.65</c:v>
                </c:pt>
                <c:pt idx="15">
                  <c:v>0.70000000000000007</c:v>
                </c:pt>
                <c:pt idx="16">
                  <c:v>0.75000000000000011</c:v>
                </c:pt>
                <c:pt idx="17">
                  <c:v>0.80000000000000016</c:v>
                </c:pt>
                <c:pt idx="18">
                  <c:v>0.8500000000000002</c:v>
                </c:pt>
                <c:pt idx="19">
                  <c:v>0.90000000000000024</c:v>
                </c:pt>
                <c:pt idx="20">
                  <c:v>0.95000000000000029</c:v>
                </c:pt>
                <c:pt idx="21">
                  <c:v>0.98</c:v>
                </c:pt>
                <c:pt idx="22">
                  <c:v>1.0000000000000002</c:v>
                </c:pt>
              </c:numCache>
            </c:numRef>
          </c:xVal>
          <c:yVal>
            <c:numRef>
              <c:f>'Figure 1'!$D$4:$D$26</c:f>
              <c:numCache>
                <c:formatCode>General</c:formatCode>
                <c:ptCount val="23"/>
                <c:pt idx="0">
                  <c:v>1</c:v>
                </c:pt>
                <c:pt idx="1">
                  <c:v>0.96039999999999992</c:v>
                </c:pt>
                <c:pt idx="2">
                  <c:v>0.90249999999999997</c:v>
                </c:pt>
                <c:pt idx="3">
                  <c:v>0.81</c:v>
                </c:pt>
                <c:pt idx="4">
                  <c:v>0.72249999999999992</c:v>
                </c:pt>
                <c:pt idx="5">
                  <c:v>0.64000000000000012</c:v>
                </c:pt>
                <c:pt idx="6">
                  <c:v>0.5625</c:v>
                </c:pt>
                <c:pt idx="7">
                  <c:v>0.48999999999999994</c:v>
                </c:pt>
                <c:pt idx="8">
                  <c:v>0.42250000000000004</c:v>
                </c:pt>
                <c:pt idx="9">
                  <c:v>0.3600000000000001</c:v>
                </c:pt>
                <c:pt idx="10">
                  <c:v>0.30250000000000005</c:v>
                </c:pt>
                <c:pt idx="11">
                  <c:v>0.25</c:v>
                </c:pt>
                <c:pt idx="12">
                  <c:v>0.20250000000000007</c:v>
                </c:pt>
                <c:pt idx="13">
                  <c:v>0.16000000000000003</c:v>
                </c:pt>
                <c:pt idx="14">
                  <c:v>0.12249999999999998</c:v>
                </c:pt>
                <c:pt idx="15">
                  <c:v>8.9999999999999955E-2</c:v>
                </c:pt>
                <c:pt idx="16">
                  <c:v>6.2499999999999944E-2</c:v>
                </c:pt>
                <c:pt idx="17">
                  <c:v>3.9999999999999938E-2</c:v>
                </c:pt>
                <c:pt idx="18">
                  <c:v>2.249999999999994E-2</c:v>
                </c:pt>
                <c:pt idx="19">
                  <c:v>9.9999999999999516E-3</c:v>
                </c:pt>
                <c:pt idx="20">
                  <c:v>2.499999999999971E-3</c:v>
                </c:pt>
                <c:pt idx="21">
                  <c:v>4.0000000000000072E-4</c:v>
                </c:pt>
                <c:pt idx="2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0E-4094-9DCE-72D493D0E628}"/>
            </c:ext>
          </c:extLst>
        </c:ser>
        <c:ser>
          <c:idx val="4"/>
          <c:order val="3"/>
          <c:tx>
            <c:strRef>
              <c:f>'Figure 1'!$E$3</c:f>
              <c:strCache>
                <c:ptCount val="1"/>
                <c:pt idx="0">
                  <c:v>Eq.3, n=0.5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'Figure 1'!$A$4:$A$26</c:f>
              <c:numCache>
                <c:formatCode>General</c:formatCode>
                <c:ptCount val="23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0.15000000000000002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0.35</c:v>
                </c:pt>
                <c:pt idx="9">
                  <c:v>0.39999999999999997</c:v>
                </c:pt>
                <c:pt idx="10">
                  <c:v>0.44999999999999996</c:v>
                </c:pt>
                <c:pt idx="11">
                  <c:v>0.49999999999999994</c:v>
                </c:pt>
                <c:pt idx="12">
                  <c:v>0.54999999999999993</c:v>
                </c:pt>
                <c:pt idx="13">
                  <c:v>0.6</c:v>
                </c:pt>
                <c:pt idx="14">
                  <c:v>0.65</c:v>
                </c:pt>
                <c:pt idx="15">
                  <c:v>0.70000000000000007</c:v>
                </c:pt>
                <c:pt idx="16">
                  <c:v>0.75000000000000011</c:v>
                </c:pt>
                <c:pt idx="17">
                  <c:v>0.80000000000000016</c:v>
                </c:pt>
                <c:pt idx="18">
                  <c:v>0.8500000000000002</c:v>
                </c:pt>
                <c:pt idx="19">
                  <c:v>0.90000000000000024</c:v>
                </c:pt>
                <c:pt idx="20">
                  <c:v>0.95000000000000029</c:v>
                </c:pt>
                <c:pt idx="21">
                  <c:v>0.98</c:v>
                </c:pt>
                <c:pt idx="22">
                  <c:v>1.0000000000000002</c:v>
                </c:pt>
              </c:numCache>
            </c:numRef>
          </c:xVal>
          <c:yVal>
            <c:numRef>
              <c:f>'Figure 1'!$E$4:$E$26</c:f>
              <c:numCache>
                <c:formatCode>General</c:formatCode>
                <c:ptCount val="23"/>
                <c:pt idx="0">
                  <c:v>1</c:v>
                </c:pt>
                <c:pt idx="1">
                  <c:v>0.85857864376269055</c:v>
                </c:pt>
                <c:pt idx="2">
                  <c:v>0.77639320225002106</c:v>
                </c:pt>
                <c:pt idx="3">
                  <c:v>0.683772233983162</c:v>
                </c:pt>
                <c:pt idx="4">
                  <c:v>0.6127016653792583</c:v>
                </c:pt>
                <c:pt idx="5">
                  <c:v>0.55278640450004213</c:v>
                </c:pt>
                <c:pt idx="6">
                  <c:v>0.5</c:v>
                </c:pt>
                <c:pt idx="7">
                  <c:v>0.45227744249483393</c:v>
                </c:pt>
                <c:pt idx="8">
                  <c:v>0.40839202169003841</c:v>
                </c:pt>
                <c:pt idx="9">
                  <c:v>0.36754446796632412</c:v>
                </c:pt>
                <c:pt idx="10">
                  <c:v>0.32917960675006308</c:v>
                </c:pt>
                <c:pt idx="11">
                  <c:v>0.29289321881345254</c:v>
                </c:pt>
                <c:pt idx="12">
                  <c:v>0.25838015129043379</c:v>
                </c:pt>
                <c:pt idx="13">
                  <c:v>0.2254033307585166</c:v>
                </c:pt>
                <c:pt idx="14">
                  <c:v>0.19377422517014498</c:v>
                </c:pt>
                <c:pt idx="15">
                  <c:v>0.16333997346592444</c:v>
                </c:pt>
                <c:pt idx="16">
                  <c:v>0.13397459621556129</c:v>
                </c:pt>
                <c:pt idx="17">
                  <c:v>0.10557280900008403</c:v>
                </c:pt>
                <c:pt idx="18">
                  <c:v>7.8045554270711137E-2</c:v>
                </c:pt>
                <c:pt idx="19">
                  <c:v>5.1316701949486121E-2</c:v>
                </c:pt>
                <c:pt idx="20">
                  <c:v>2.5320565519103444E-2</c:v>
                </c:pt>
                <c:pt idx="21">
                  <c:v>1.005050633883342E-2</c:v>
                </c:pt>
                <c:pt idx="2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DE-4460-B61E-FC8A18D3C762}"/>
            </c:ext>
          </c:extLst>
        </c:ser>
        <c:ser>
          <c:idx val="2"/>
          <c:order val="4"/>
          <c:tx>
            <c:strRef>
              <c:f>'Figure 1'!$F$3</c:f>
              <c:strCache>
                <c:ptCount val="1"/>
                <c:pt idx="0">
                  <c:v>Eq.3, n=2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'Figure 1'!$A$4:$A$26</c:f>
              <c:numCache>
                <c:formatCode>General</c:formatCode>
                <c:ptCount val="23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0.15000000000000002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0.35</c:v>
                </c:pt>
                <c:pt idx="9">
                  <c:v>0.39999999999999997</c:v>
                </c:pt>
                <c:pt idx="10">
                  <c:v>0.44999999999999996</c:v>
                </c:pt>
                <c:pt idx="11">
                  <c:v>0.49999999999999994</c:v>
                </c:pt>
                <c:pt idx="12">
                  <c:v>0.54999999999999993</c:v>
                </c:pt>
                <c:pt idx="13">
                  <c:v>0.6</c:v>
                </c:pt>
                <c:pt idx="14">
                  <c:v>0.65</c:v>
                </c:pt>
                <c:pt idx="15">
                  <c:v>0.70000000000000007</c:v>
                </c:pt>
                <c:pt idx="16">
                  <c:v>0.75000000000000011</c:v>
                </c:pt>
                <c:pt idx="17">
                  <c:v>0.80000000000000016</c:v>
                </c:pt>
                <c:pt idx="18">
                  <c:v>0.8500000000000002</c:v>
                </c:pt>
                <c:pt idx="19">
                  <c:v>0.90000000000000024</c:v>
                </c:pt>
                <c:pt idx="20">
                  <c:v>0.95000000000000029</c:v>
                </c:pt>
                <c:pt idx="21">
                  <c:v>0.98</c:v>
                </c:pt>
                <c:pt idx="22">
                  <c:v>1.0000000000000002</c:v>
                </c:pt>
              </c:numCache>
            </c:numRef>
          </c:xVal>
          <c:yVal>
            <c:numRef>
              <c:f>'Figure 1'!$F$4:$F$26</c:f>
              <c:numCache>
                <c:formatCode>General</c:formatCode>
                <c:ptCount val="23"/>
                <c:pt idx="0">
                  <c:v>1</c:v>
                </c:pt>
                <c:pt idx="1">
                  <c:v>0.99960000000000004</c:v>
                </c:pt>
                <c:pt idx="2">
                  <c:v>0.99750000000000005</c:v>
                </c:pt>
                <c:pt idx="3">
                  <c:v>0.99</c:v>
                </c:pt>
                <c:pt idx="4">
                  <c:v>0.97750000000000004</c:v>
                </c:pt>
                <c:pt idx="5">
                  <c:v>0.96</c:v>
                </c:pt>
                <c:pt idx="6">
                  <c:v>0.9375</c:v>
                </c:pt>
                <c:pt idx="7">
                  <c:v>0.91</c:v>
                </c:pt>
                <c:pt idx="8">
                  <c:v>0.87750000000000006</c:v>
                </c:pt>
                <c:pt idx="9">
                  <c:v>0.84000000000000008</c:v>
                </c:pt>
                <c:pt idx="10">
                  <c:v>0.7975000000000001</c:v>
                </c:pt>
                <c:pt idx="11">
                  <c:v>0.75</c:v>
                </c:pt>
                <c:pt idx="12">
                  <c:v>0.69750000000000001</c:v>
                </c:pt>
                <c:pt idx="13">
                  <c:v>0.64</c:v>
                </c:pt>
                <c:pt idx="14">
                  <c:v>0.5774999999999999</c:v>
                </c:pt>
                <c:pt idx="15">
                  <c:v>0.5099999999999999</c:v>
                </c:pt>
                <c:pt idx="16">
                  <c:v>0.43749999999999978</c:v>
                </c:pt>
                <c:pt idx="17">
                  <c:v>0.35999999999999976</c:v>
                </c:pt>
                <c:pt idx="18">
                  <c:v>0.27749999999999964</c:v>
                </c:pt>
                <c:pt idx="19">
                  <c:v>0.18999999999999961</c:v>
                </c:pt>
                <c:pt idx="20">
                  <c:v>9.7499999999999476E-2</c:v>
                </c:pt>
                <c:pt idx="21">
                  <c:v>3.960000000000008E-2</c:v>
                </c:pt>
                <c:pt idx="2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0E-4094-9DCE-72D493D0E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360008"/>
        <c:axId val="667360336"/>
      </c:scatterChart>
      <c:valAx>
        <c:axId val="66736000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i="1">
                    <a:solidFill>
                      <a:schemeClr val="tx1"/>
                    </a:solidFill>
                    <a:latin typeface="+mn-lt"/>
                  </a:rPr>
                  <a:t>c</a:t>
                </a:r>
                <a:r>
                  <a:rPr lang="en-GB" sz="1050" baseline="-25000">
                    <a:solidFill>
                      <a:schemeClr val="tx1"/>
                    </a:solidFill>
                    <a:latin typeface="+mn-lt"/>
                  </a:rPr>
                  <a:t>p</a:t>
                </a:r>
                <a:r>
                  <a:rPr lang="en-GB" sz="1050">
                    <a:solidFill>
                      <a:schemeClr val="tx1"/>
                    </a:solidFill>
                    <a:latin typeface="+mn-lt"/>
                  </a:rPr>
                  <a:t>/</a:t>
                </a:r>
                <a:r>
                  <a:rPr lang="en-GB" sz="1050" i="1">
                    <a:solidFill>
                      <a:schemeClr val="tx1"/>
                    </a:solidFill>
                    <a:latin typeface="+mn-lt"/>
                  </a:rPr>
                  <a:t>c</a:t>
                </a:r>
                <a:r>
                  <a:rPr lang="en-GB" sz="1050" baseline="-25000">
                    <a:solidFill>
                      <a:schemeClr val="tx1"/>
                    </a:solidFill>
                    <a:latin typeface="+mn-lt"/>
                  </a:rPr>
                  <a:t>p</a:t>
                </a:r>
                <a:r>
                  <a:rPr lang="en-GB" sz="1050" baseline="30000">
                    <a:solidFill>
                      <a:schemeClr val="tx1"/>
                    </a:solidFill>
                    <a:latin typeface="+mn-lt"/>
                  </a:rPr>
                  <a:t>crit,</a:t>
                </a:r>
                <a:r>
                  <a:rPr lang="el-GR" sz="1050" baseline="30000">
                    <a:solidFill>
                      <a:schemeClr val="tx1"/>
                    </a:solidFill>
                    <a:latin typeface="+mn-lt"/>
                    <a:cs typeface="Calibri" panose="020F0502020204030204" pitchFamily="34" charset="0"/>
                  </a:rPr>
                  <a:t>μ</a:t>
                </a:r>
                <a:endParaRPr lang="en-GB" sz="1050" baseline="30000">
                  <a:solidFill>
                    <a:schemeClr val="tx1"/>
                  </a:solidFill>
                  <a:latin typeface="+mn-lt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60336"/>
        <c:crosses val="autoZero"/>
        <c:crossBetween val="midCat"/>
      </c:valAx>
      <c:valAx>
        <c:axId val="6673603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50" i="1">
                    <a:solidFill>
                      <a:schemeClr val="tx1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en-GB" sz="1050" i="0" baseline="30000">
                    <a:solidFill>
                      <a:schemeClr val="tx1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max</a:t>
                </a:r>
                <a:r>
                  <a:rPr lang="en-GB" sz="1050">
                    <a:solidFill>
                      <a:schemeClr val="tx1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/</a:t>
                </a:r>
                <a:r>
                  <a:rPr lang="el-GR" sz="1050" i="1">
                    <a:solidFill>
                      <a:schemeClr val="tx1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en-GB" sz="1050" i="0" baseline="30000">
                    <a:solidFill>
                      <a:schemeClr val="tx1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max</a:t>
                </a:r>
                <a:r>
                  <a:rPr lang="en-GB" sz="1050" i="0" baseline="-25000">
                    <a:solidFill>
                      <a:schemeClr val="tx1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endParaRPr lang="en-GB" sz="1050" i="0" baseline="-250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360008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70450147250823703"/>
          <c:y val="3.9497010176134731E-2"/>
          <c:w val="0.25119486326835405"/>
          <c:h val="0.31166535348220742"/>
        </c:manualLayout>
      </c:layout>
      <c:overlay val="1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472440</xdr:colOff>
      <xdr:row>27</xdr:row>
      <xdr:rowOff>114300</xdr:rowOff>
    </xdr:from>
    <xdr:to>
      <xdr:col>12</xdr:col>
      <xdr:colOff>556260</xdr:colOff>
      <xdr:row>55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28</xdr:row>
      <xdr:rowOff>0</xdr:rowOff>
    </xdr:from>
    <xdr:to>
      <xdr:col>26</xdr:col>
      <xdr:colOff>83820</xdr:colOff>
      <xdr:row>55</xdr:row>
      <xdr:rowOff>106680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472440</xdr:colOff>
      <xdr:row>57</xdr:row>
      <xdr:rowOff>114300</xdr:rowOff>
    </xdr:from>
    <xdr:to>
      <xdr:col>13</xdr:col>
      <xdr:colOff>167640</xdr:colOff>
      <xdr:row>72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327660</xdr:colOff>
      <xdr:row>57</xdr:row>
      <xdr:rowOff>99060</xdr:rowOff>
    </xdr:from>
    <xdr:to>
      <xdr:col>21</xdr:col>
      <xdr:colOff>22860</xdr:colOff>
      <xdr:row>72</xdr:row>
      <xdr:rowOff>99060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354330</xdr:colOff>
      <xdr:row>44</xdr:row>
      <xdr:rowOff>160020</xdr:rowOff>
    </xdr:from>
    <xdr:to>
      <xdr:col>15</xdr:col>
      <xdr:colOff>49530</xdr:colOff>
      <xdr:row>59</xdr:row>
      <xdr:rowOff>160020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65</xdr:row>
      <xdr:rowOff>68580</xdr:rowOff>
    </xdr:from>
    <xdr:to>
      <xdr:col>6</xdr:col>
      <xdr:colOff>541020</xdr:colOff>
      <xdr:row>80</xdr:row>
      <xdr:rowOff>91440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65</xdr:row>
      <xdr:rowOff>0</xdr:rowOff>
    </xdr:from>
    <xdr:to>
      <xdr:col>15</xdr:col>
      <xdr:colOff>304800</xdr:colOff>
      <xdr:row>80</xdr:row>
      <xdr:rowOff>22860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28</xdr:row>
      <xdr:rowOff>22860</xdr:rowOff>
    </xdr:from>
    <xdr:to>
      <xdr:col>19</xdr:col>
      <xdr:colOff>304800</xdr:colOff>
      <xdr:row>40</xdr:row>
      <xdr:rowOff>22860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106680</xdr:colOff>
      <xdr:row>1</xdr:row>
      <xdr:rowOff>30480</xdr:rowOff>
    </xdr:from>
    <xdr:to>
      <xdr:col>15</xdr:col>
      <xdr:colOff>400050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605790</xdr:colOff>
      <xdr:row>11</xdr:row>
      <xdr:rowOff>152399</xdr:rowOff>
    </xdr:from>
    <xdr:to>
      <xdr:col>17</xdr:col>
      <xdr:colOff>152400</xdr:colOff>
      <xdr:row>30</xdr:row>
      <xdr:rowOff>137159</xdr:rowOff>
    </xdr:to>
    <xdr:grpSp>
      <xdr:nvGrpSpPr>
        <xdr:cNvPr id="5" name="Group 4"/>
        <xdr:cNvGrpSpPr/>
      </xdr:nvGrpSpPr>
      <xdr:grpSpPr>
        <a:xfrm>
          <a:off x="6829977" y="2189147"/>
          <a:ext cx="4446199" cy="3502778"/>
          <a:chOff x="6102275" y="2186269"/>
          <a:chExt cx="4432375" cy="3312909"/>
        </a:xfrm>
      </xdr:grpSpPr>
      <xdr:graphicFrame macro="">
        <xdr:nvGraphicFramePr>
          <xdr:cNvPr id="2" name="Chart 1"/>
          <xdr:cNvGraphicFramePr/>
        </xdr:nvGraphicFramePr>
        <xdr:xfrm>
          <a:off x="6102275" y="2186269"/>
          <a:ext cx="4432375" cy="33129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/>
          <xdr:cNvSpPr txBox="1"/>
        </xdr:nvSpPr>
        <xdr:spPr>
          <a:xfrm>
            <a:off x="6990891" y="3626666"/>
            <a:ext cx="885041" cy="4155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en-GB" sz="1000" b="1">
                <a:solidFill>
                  <a:schemeClr val="accent1"/>
                </a:solidFill>
              </a:rPr>
              <a:t>Substrate</a:t>
            </a:r>
            <a:r>
              <a:rPr lang="en-GB" sz="1000" b="1" baseline="0">
                <a:solidFill>
                  <a:schemeClr val="accent1"/>
                </a:solidFill>
              </a:rPr>
              <a:t> consumpt</a:t>
            </a:r>
            <a:r>
              <a:rPr lang="en-GB" sz="1000" b="1">
                <a:solidFill>
                  <a:schemeClr val="accent1"/>
                </a:solidFill>
              </a:rPr>
              <a:t>ion</a:t>
            </a:r>
          </a:p>
        </xdr:txBody>
      </xdr:sp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0.46396</cdr:x>
      <cdr:y>0.68239</cdr:y>
    </cdr:from>
    <cdr:to>
      <cdr:x>0.6635</cdr:x>
      <cdr:y>0.76456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2062848" y="2390245"/>
          <a:ext cx="887194" cy="28782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1">
              <a:solidFill>
                <a:schemeClr val="bg1">
                  <a:lumMod val="50000"/>
                </a:schemeClr>
              </a:solidFill>
            </a:rPr>
            <a:t>Maintenance</a:t>
          </a:r>
        </a:p>
      </cdr:txBody>
    </cdr:sp>
  </cdr:relSizeAnchor>
  <cdr:relSizeAnchor xmlns:cdr="http://schemas.openxmlformats.org/drawingml/2006/chartDrawing">
    <cdr:from>
      <cdr:x>0.19357</cdr:x>
      <cdr:y>0.64939</cdr:y>
    </cdr:from>
    <cdr:to>
      <cdr:x>0.32765</cdr:x>
      <cdr:y>0.73156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60638" y="2274671"/>
          <a:ext cx="596147" cy="28782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1000" b="1">
              <a:solidFill>
                <a:srgbClr val="00B050"/>
              </a:solidFill>
            </a:rPr>
            <a:t>Growth</a:t>
          </a:r>
        </a:p>
      </cdr:txBody>
    </cdr:sp>
  </cdr:relSizeAnchor>
  <cdr:relSizeAnchor xmlns:cdr="http://schemas.openxmlformats.org/drawingml/2006/chartDrawing">
    <cdr:from>
      <cdr:x>0.46471</cdr:x>
      <cdr:y>0.28287</cdr:y>
    </cdr:from>
    <cdr:to>
      <cdr:x>0.66438</cdr:x>
      <cdr:y>0.40829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66183" y="990837"/>
          <a:ext cx="887801" cy="43932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1000" b="1">
              <a:solidFill>
                <a:srgbClr val="FF0000"/>
              </a:solidFill>
            </a:rPr>
            <a:t>Product</a:t>
          </a:r>
          <a:r>
            <a:rPr lang="en-GB" sz="1000" b="1" baseline="0">
              <a:solidFill>
                <a:srgbClr val="FF0000"/>
              </a:solidFill>
            </a:rPr>
            <a:t> formation</a:t>
          </a:r>
          <a:endParaRPr lang="en-GB" sz="1000" b="1">
            <a:solidFill>
              <a:srgbClr val="FF0000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412103</xdr:colOff>
      <xdr:row>25</xdr:row>
      <xdr:rowOff>46499</xdr:rowOff>
    </xdr:from>
    <xdr:to>
      <xdr:col>21</xdr:col>
      <xdr:colOff>277275</xdr:colOff>
      <xdr:row>42</xdr:row>
      <xdr:rowOff>27527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300028</xdr:colOff>
      <xdr:row>76</xdr:row>
      <xdr:rowOff>112978</xdr:rowOff>
    </xdr:from>
    <xdr:to>
      <xdr:col>11</xdr:col>
      <xdr:colOff>96825</xdr:colOff>
      <xdr:row>93</xdr:row>
      <xdr:rowOff>113287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23325</xdr:colOff>
      <xdr:row>15</xdr:row>
      <xdr:rowOff>7775</xdr:rowOff>
    </xdr:from>
    <xdr:to>
      <xdr:col>30</xdr:col>
      <xdr:colOff>642162</xdr:colOff>
      <xdr:row>42</xdr:row>
      <xdr:rowOff>80960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16672" y="2861387"/>
          <a:ext cx="5470755" cy="51194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oi.org/10.1002/bit.260250618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doi.org/10.1007/BF0036926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7" workbookViewId="0">
      <selection activeCell="E16" sqref="E16"/>
    </sheetView>
  </sheetViews>
  <sheetFormatPr defaultRowHeight="14.4" x14ac:dyDescent="0.3"/>
  <cols>
    <col min="1" max="1" width="14.33203125" customWidth="1"/>
  </cols>
  <sheetData>
    <row r="1" spans="1:4" x14ac:dyDescent="0.3">
      <c r="A1" s="6" t="s">
        <v>209</v>
      </c>
    </row>
    <row r="2" spans="1:4" x14ac:dyDescent="0.3">
      <c r="A2" s="6"/>
    </row>
    <row r="3" spans="1:4" ht="25.8" x14ac:dyDescent="0.5">
      <c r="A3" s="28" t="s">
        <v>205</v>
      </c>
    </row>
    <row r="4" spans="1:4" x14ac:dyDescent="0.3">
      <c r="A4" s="6"/>
    </row>
    <row r="5" spans="1:4" x14ac:dyDescent="0.3">
      <c r="A5" s="6" t="s">
        <v>206</v>
      </c>
    </row>
    <row r="8" spans="1:4" s="5" customFormat="1" x14ac:dyDescent="0.3">
      <c r="A8" s="5" t="s">
        <v>217</v>
      </c>
      <c r="B8" s="5" t="s">
        <v>207</v>
      </c>
    </row>
    <row r="9" spans="1:4" s="5" customFormat="1" x14ac:dyDescent="0.3">
      <c r="A9" s="3" t="s">
        <v>218</v>
      </c>
      <c r="B9" s="3" t="s">
        <v>221</v>
      </c>
    </row>
    <row r="10" spans="1:4" s="5" customFormat="1" x14ac:dyDescent="0.3">
      <c r="A10" s="3" t="s">
        <v>219</v>
      </c>
      <c r="B10" s="3" t="s">
        <v>222</v>
      </c>
    </row>
    <row r="11" spans="1:4" s="5" customFormat="1" x14ac:dyDescent="0.3">
      <c r="A11" s="3" t="s">
        <v>98</v>
      </c>
      <c r="B11" s="3" t="s">
        <v>223</v>
      </c>
      <c r="D11" s="3" t="s">
        <v>327</v>
      </c>
    </row>
    <row r="12" spans="1:4" s="5" customFormat="1" x14ac:dyDescent="0.3">
      <c r="A12" s="3" t="s">
        <v>220</v>
      </c>
      <c r="B12" s="3" t="s">
        <v>224</v>
      </c>
    </row>
    <row r="13" spans="1:4" x14ac:dyDescent="0.3">
      <c r="A13" t="s">
        <v>208</v>
      </c>
      <c r="B13" s="3" t="s">
        <v>225</v>
      </c>
    </row>
    <row r="14" spans="1:4" x14ac:dyDescent="0.3">
      <c r="A14" t="s">
        <v>210</v>
      </c>
      <c r="B14" s="3" t="s">
        <v>225</v>
      </c>
    </row>
    <row r="15" spans="1:4" x14ac:dyDescent="0.3">
      <c r="A15" t="s">
        <v>211</v>
      </c>
      <c r="B15" s="3" t="s">
        <v>225</v>
      </c>
    </row>
    <row r="16" spans="1:4" x14ac:dyDescent="0.3">
      <c r="A16" t="s">
        <v>212</v>
      </c>
      <c r="B16" s="3" t="s">
        <v>225</v>
      </c>
    </row>
    <row r="17" spans="1:5" x14ac:dyDescent="0.3">
      <c r="A17" t="s">
        <v>213</v>
      </c>
      <c r="B17" s="3" t="s">
        <v>225</v>
      </c>
    </row>
    <row r="18" spans="1:5" x14ac:dyDescent="0.3">
      <c r="A18" t="s">
        <v>214</v>
      </c>
      <c r="B18" s="3" t="s">
        <v>225</v>
      </c>
    </row>
    <row r="19" spans="1:5" x14ac:dyDescent="0.3">
      <c r="A19" t="s">
        <v>215</v>
      </c>
      <c r="B19" s="3" t="s">
        <v>225</v>
      </c>
    </row>
    <row r="20" spans="1:5" x14ac:dyDescent="0.3">
      <c r="A20" t="s">
        <v>216</v>
      </c>
      <c r="B20" s="3" t="s">
        <v>225</v>
      </c>
    </row>
    <row r="22" spans="1:5" x14ac:dyDescent="0.3">
      <c r="A22" s="5" t="s">
        <v>293</v>
      </c>
    </row>
    <row r="23" spans="1:5" x14ac:dyDescent="0.3">
      <c r="A23" t="s">
        <v>305</v>
      </c>
    </row>
    <row r="24" spans="1:5" ht="15.6" x14ac:dyDescent="0.35">
      <c r="A24" t="s">
        <v>306</v>
      </c>
    </row>
    <row r="25" spans="1:5" x14ac:dyDescent="0.3">
      <c r="A25" t="s">
        <v>294</v>
      </c>
    </row>
    <row r="26" spans="1:5" x14ac:dyDescent="0.3">
      <c r="A26" t="s">
        <v>298</v>
      </c>
    </row>
    <row r="27" spans="1:5" x14ac:dyDescent="0.3">
      <c r="B27" t="s">
        <v>295</v>
      </c>
      <c r="D27" t="s">
        <v>296</v>
      </c>
      <c r="E27" t="s">
        <v>297</v>
      </c>
    </row>
    <row r="28" spans="1:5" x14ac:dyDescent="0.3">
      <c r="B28" t="s">
        <v>299</v>
      </c>
      <c r="D28" t="s">
        <v>300</v>
      </c>
      <c r="E28" t="s">
        <v>301</v>
      </c>
    </row>
    <row r="29" spans="1:5" x14ac:dyDescent="0.3">
      <c r="B29" t="s">
        <v>302</v>
      </c>
      <c r="D29" t="s">
        <v>296</v>
      </c>
      <c r="E29" t="s">
        <v>301</v>
      </c>
    </row>
    <row r="30" spans="1:5" x14ac:dyDescent="0.3">
      <c r="B30" t="s">
        <v>304</v>
      </c>
      <c r="D30" t="s">
        <v>300</v>
      </c>
      <c r="E30" t="s">
        <v>303</v>
      </c>
    </row>
    <row r="31" spans="1:5" x14ac:dyDescent="0.3">
      <c r="A31" t="s">
        <v>308</v>
      </c>
    </row>
    <row r="32" spans="1:5" x14ac:dyDescent="0.3">
      <c r="A32" t="s">
        <v>309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96" zoomScaleNormal="96" workbookViewId="0">
      <selection activeCell="H5" sqref="H5"/>
    </sheetView>
  </sheetViews>
  <sheetFormatPr defaultRowHeight="14.4" x14ac:dyDescent="0.3"/>
  <cols>
    <col min="2" max="2" width="11.88671875" customWidth="1"/>
    <col min="3" max="5" width="12.109375" customWidth="1"/>
    <col min="8" max="8" width="11.21875" customWidth="1"/>
  </cols>
  <sheetData>
    <row r="1" spans="1:6" x14ac:dyDescent="0.3">
      <c r="A1" t="s">
        <v>226</v>
      </c>
      <c r="B1" t="s">
        <v>227</v>
      </c>
      <c r="C1" t="s">
        <v>227</v>
      </c>
      <c r="D1" t="s">
        <v>227</v>
      </c>
      <c r="E1" t="s">
        <v>227</v>
      </c>
      <c r="F1" t="s">
        <v>227</v>
      </c>
    </row>
    <row r="3" spans="1:6" x14ac:dyDescent="0.3">
      <c r="A3" t="s">
        <v>328</v>
      </c>
      <c r="B3" t="s">
        <v>197</v>
      </c>
      <c r="C3" t="s">
        <v>194</v>
      </c>
      <c r="D3" t="s">
        <v>196</v>
      </c>
      <c r="E3" t="s">
        <v>195</v>
      </c>
      <c r="F3" t="s">
        <v>198</v>
      </c>
    </row>
    <row r="4" spans="1:6" x14ac:dyDescent="0.3">
      <c r="A4">
        <v>0</v>
      </c>
      <c r="B4">
        <f>1-A4</f>
        <v>1</v>
      </c>
      <c r="C4">
        <f>B4^0.5</f>
        <v>1</v>
      </c>
      <c r="D4">
        <f>B4^2</f>
        <v>1</v>
      </c>
      <c r="E4">
        <f>1-A4^0.5</f>
        <v>1</v>
      </c>
      <c r="F4">
        <f>1-A4^2</f>
        <v>1</v>
      </c>
    </row>
    <row r="5" spans="1:6" x14ac:dyDescent="0.3">
      <c r="A5">
        <v>0.02</v>
      </c>
      <c r="B5">
        <f>1-A5</f>
        <v>0.98</v>
      </c>
      <c r="C5">
        <f>B5^0.5</f>
        <v>0.98994949366116658</v>
      </c>
      <c r="D5">
        <f t="shared" ref="D5:D26" si="0">B5^2</f>
        <v>0.96039999999999992</v>
      </c>
      <c r="E5">
        <f>1-A5^0.5</f>
        <v>0.85857864376269055</v>
      </c>
      <c r="F5">
        <f>1-A5^2</f>
        <v>0.99960000000000004</v>
      </c>
    </row>
    <row r="6" spans="1:6" x14ac:dyDescent="0.3">
      <c r="A6">
        <f>A4+0.05</f>
        <v>0.05</v>
      </c>
      <c r="B6">
        <f t="shared" ref="B6:B26" si="1">1-A6</f>
        <v>0.95</v>
      </c>
      <c r="C6">
        <f t="shared" ref="C6:C26" si="2">B6^0.5</f>
        <v>0.97467943448089633</v>
      </c>
      <c r="D6">
        <f t="shared" si="0"/>
        <v>0.90249999999999997</v>
      </c>
      <c r="E6">
        <f t="shared" ref="E6:E26" si="3">1-A6^0.5</f>
        <v>0.77639320225002106</v>
      </c>
      <c r="F6">
        <f t="shared" ref="F6:F26" si="4">1-A6^2</f>
        <v>0.99750000000000005</v>
      </c>
    </row>
    <row r="7" spans="1:6" x14ac:dyDescent="0.3">
      <c r="A7">
        <f t="shared" ref="A7:A24" si="5">A6+0.05</f>
        <v>0.1</v>
      </c>
      <c r="B7">
        <f t="shared" si="1"/>
        <v>0.9</v>
      </c>
      <c r="C7">
        <f t="shared" si="2"/>
        <v>0.94868329805051377</v>
      </c>
      <c r="D7">
        <f t="shared" si="0"/>
        <v>0.81</v>
      </c>
      <c r="E7">
        <f t="shared" si="3"/>
        <v>0.683772233983162</v>
      </c>
      <c r="F7">
        <f t="shared" si="4"/>
        <v>0.99</v>
      </c>
    </row>
    <row r="8" spans="1:6" x14ac:dyDescent="0.3">
      <c r="A8">
        <f t="shared" si="5"/>
        <v>0.15000000000000002</v>
      </c>
      <c r="B8">
        <f t="shared" si="1"/>
        <v>0.85</v>
      </c>
      <c r="C8">
        <f t="shared" si="2"/>
        <v>0.92195444572928875</v>
      </c>
      <c r="D8">
        <f t="shared" si="0"/>
        <v>0.72249999999999992</v>
      </c>
      <c r="E8">
        <f t="shared" si="3"/>
        <v>0.6127016653792583</v>
      </c>
      <c r="F8">
        <f t="shared" si="4"/>
        <v>0.97750000000000004</v>
      </c>
    </row>
    <row r="9" spans="1:6" x14ac:dyDescent="0.3">
      <c r="A9">
        <f t="shared" si="5"/>
        <v>0.2</v>
      </c>
      <c r="B9">
        <f t="shared" si="1"/>
        <v>0.8</v>
      </c>
      <c r="C9">
        <f t="shared" si="2"/>
        <v>0.89442719099991586</v>
      </c>
      <c r="D9">
        <f t="shared" si="0"/>
        <v>0.64000000000000012</v>
      </c>
      <c r="E9">
        <f t="shared" si="3"/>
        <v>0.55278640450004213</v>
      </c>
      <c r="F9">
        <f t="shared" si="4"/>
        <v>0.96</v>
      </c>
    </row>
    <row r="10" spans="1:6" x14ac:dyDescent="0.3">
      <c r="A10">
        <f t="shared" si="5"/>
        <v>0.25</v>
      </c>
      <c r="B10">
        <f t="shared" si="1"/>
        <v>0.75</v>
      </c>
      <c r="C10">
        <f t="shared" si="2"/>
        <v>0.8660254037844386</v>
      </c>
      <c r="D10">
        <f t="shared" si="0"/>
        <v>0.5625</v>
      </c>
      <c r="E10">
        <f t="shared" si="3"/>
        <v>0.5</v>
      </c>
      <c r="F10">
        <f t="shared" si="4"/>
        <v>0.9375</v>
      </c>
    </row>
    <row r="11" spans="1:6" x14ac:dyDescent="0.3">
      <c r="A11">
        <f t="shared" si="5"/>
        <v>0.3</v>
      </c>
      <c r="B11">
        <f t="shared" si="1"/>
        <v>0.7</v>
      </c>
      <c r="C11">
        <f t="shared" si="2"/>
        <v>0.83666002653407556</v>
      </c>
      <c r="D11">
        <f t="shared" si="0"/>
        <v>0.48999999999999994</v>
      </c>
      <c r="E11">
        <f t="shared" si="3"/>
        <v>0.45227744249483393</v>
      </c>
      <c r="F11">
        <f t="shared" si="4"/>
        <v>0.91</v>
      </c>
    </row>
    <row r="12" spans="1:6" x14ac:dyDescent="0.3">
      <c r="A12">
        <f t="shared" si="5"/>
        <v>0.35</v>
      </c>
      <c r="B12">
        <f t="shared" si="1"/>
        <v>0.65</v>
      </c>
      <c r="C12">
        <f t="shared" si="2"/>
        <v>0.80622577482985502</v>
      </c>
      <c r="D12">
        <f t="shared" si="0"/>
        <v>0.42250000000000004</v>
      </c>
      <c r="E12">
        <f t="shared" si="3"/>
        <v>0.40839202169003841</v>
      </c>
      <c r="F12">
        <f t="shared" si="4"/>
        <v>0.87750000000000006</v>
      </c>
    </row>
    <row r="13" spans="1:6" x14ac:dyDescent="0.3">
      <c r="A13">
        <f t="shared" si="5"/>
        <v>0.39999999999999997</v>
      </c>
      <c r="B13">
        <f t="shared" si="1"/>
        <v>0.60000000000000009</v>
      </c>
      <c r="C13">
        <f t="shared" si="2"/>
        <v>0.7745966692414834</v>
      </c>
      <c r="D13">
        <f t="shared" si="0"/>
        <v>0.3600000000000001</v>
      </c>
      <c r="E13">
        <f t="shared" si="3"/>
        <v>0.36754446796632412</v>
      </c>
      <c r="F13">
        <f t="shared" si="4"/>
        <v>0.84000000000000008</v>
      </c>
    </row>
    <row r="14" spans="1:6" x14ac:dyDescent="0.3">
      <c r="A14">
        <f t="shared" si="5"/>
        <v>0.44999999999999996</v>
      </c>
      <c r="B14">
        <f t="shared" si="1"/>
        <v>0.55000000000000004</v>
      </c>
      <c r="C14">
        <f t="shared" si="2"/>
        <v>0.74161984870956632</v>
      </c>
      <c r="D14">
        <f t="shared" si="0"/>
        <v>0.30250000000000005</v>
      </c>
      <c r="E14">
        <f t="shared" si="3"/>
        <v>0.32917960675006308</v>
      </c>
      <c r="F14">
        <f t="shared" si="4"/>
        <v>0.7975000000000001</v>
      </c>
    </row>
    <row r="15" spans="1:6" x14ac:dyDescent="0.3">
      <c r="A15">
        <f t="shared" si="5"/>
        <v>0.49999999999999994</v>
      </c>
      <c r="B15">
        <f t="shared" si="1"/>
        <v>0.5</v>
      </c>
      <c r="C15">
        <f t="shared" si="2"/>
        <v>0.70710678118654757</v>
      </c>
      <c r="D15">
        <f t="shared" si="0"/>
        <v>0.25</v>
      </c>
      <c r="E15">
        <f t="shared" si="3"/>
        <v>0.29289321881345254</v>
      </c>
      <c r="F15">
        <f t="shared" si="4"/>
        <v>0.75</v>
      </c>
    </row>
    <row r="16" spans="1:6" x14ac:dyDescent="0.3">
      <c r="A16">
        <f t="shared" si="5"/>
        <v>0.54999999999999993</v>
      </c>
      <c r="B16">
        <f t="shared" si="1"/>
        <v>0.45000000000000007</v>
      </c>
      <c r="C16">
        <f t="shared" si="2"/>
        <v>0.67082039324993692</v>
      </c>
      <c r="D16">
        <f t="shared" si="0"/>
        <v>0.20250000000000007</v>
      </c>
      <c r="E16">
        <f t="shared" si="3"/>
        <v>0.25838015129043379</v>
      </c>
      <c r="F16">
        <f t="shared" si="4"/>
        <v>0.69750000000000001</v>
      </c>
    </row>
    <row r="17" spans="1:6" x14ac:dyDescent="0.3">
      <c r="A17">
        <f t="shared" si="5"/>
        <v>0.6</v>
      </c>
      <c r="B17">
        <f t="shared" si="1"/>
        <v>0.4</v>
      </c>
      <c r="C17">
        <f t="shared" si="2"/>
        <v>0.63245553203367588</v>
      </c>
      <c r="D17">
        <f t="shared" si="0"/>
        <v>0.16000000000000003</v>
      </c>
      <c r="E17">
        <f t="shared" si="3"/>
        <v>0.2254033307585166</v>
      </c>
      <c r="F17">
        <f t="shared" si="4"/>
        <v>0.64</v>
      </c>
    </row>
    <row r="18" spans="1:6" x14ac:dyDescent="0.3">
      <c r="A18">
        <f t="shared" si="5"/>
        <v>0.65</v>
      </c>
      <c r="B18">
        <f t="shared" si="1"/>
        <v>0.35</v>
      </c>
      <c r="C18">
        <f t="shared" si="2"/>
        <v>0.59160797830996159</v>
      </c>
      <c r="D18">
        <f t="shared" si="0"/>
        <v>0.12249999999999998</v>
      </c>
      <c r="E18">
        <f t="shared" si="3"/>
        <v>0.19377422517014498</v>
      </c>
      <c r="F18">
        <f t="shared" si="4"/>
        <v>0.5774999999999999</v>
      </c>
    </row>
    <row r="19" spans="1:6" x14ac:dyDescent="0.3">
      <c r="A19">
        <f t="shared" si="5"/>
        <v>0.70000000000000007</v>
      </c>
      <c r="B19">
        <f t="shared" si="1"/>
        <v>0.29999999999999993</v>
      </c>
      <c r="C19">
        <f t="shared" si="2"/>
        <v>0.54772255750516607</v>
      </c>
      <c r="D19">
        <f t="shared" si="0"/>
        <v>8.9999999999999955E-2</v>
      </c>
      <c r="E19">
        <f t="shared" si="3"/>
        <v>0.16333997346592444</v>
      </c>
      <c r="F19">
        <f t="shared" si="4"/>
        <v>0.5099999999999999</v>
      </c>
    </row>
    <row r="20" spans="1:6" x14ac:dyDescent="0.3">
      <c r="A20">
        <f t="shared" si="5"/>
        <v>0.75000000000000011</v>
      </c>
      <c r="B20">
        <f t="shared" si="1"/>
        <v>0.24999999999999989</v>
      </c>
      <c r="C20">
        <f t="shared" si="2"/>
        <v>0.49999999999999989</v>
      </c>
      <c r="D20">
        <f t="shared" si="0"/>
        <v>6.2499999999999944E-2</v>
      </c>
      <c r="E20">
        <f t="shared" si="3"/>
        <v>0.13397459621556129</v>
      </c>
      <c r="F20">
        <f t="shared" si="4"/>
        <v>0.43749999999999978</v>
      </c>
    </row>
    <row r="21" spans="1:6" x14ac:dyDescent="0.3">
      <c r="A21">
        <f t="shared" si="5"/>
        <v>0.80000000000000016</v>
      </c>
      <c r="B21">
        <f t="shared" si="1"/>
        <v>0.19999999999999984</v>
      </c>
      <c r="C21">
        <f t="shared" si="2"/>
        <v>0.44721359549995776</v>
      </c>
      <c r="D21">
        <f t="shared" si="0"/>
        <v>3.9999999999999938E-2</v>
      </c>
      <c r="E21">
        <f t="shared" si="3"/>
        <v>0.10557280900008403</v>
      </c>
      <c r="F21">
        <f t="shared" si="4"/>
        <v>0.35999999999999976</v>
      </c>
    </row>
    <row r="22" spans="1:6" x14ac:dyDescent="0.3">
      <c r="A22">
        <f t="shared" si="5"/>
        <v>0.8500000000000002</v>
      </c>
      <c r="B22">
        <f t="shared" si="1"/>
        <v>0.1499999999999998</v>
      </c>
      <c r="C22">
        <f t="shared" si="2"/>
        <v>0.38729833462074142</v>
      </c>
      <c r="D22">
        <f t="shared" si="0"/>
        <v>2.249999999999994E-2</v>
      </c>
      <c r="E22">
        <f t="shared" si="3"/>
        <v>7.8045554270711137E-2</v>
      </c>
      <c r="F22">
        <f t="shared" si="4"/>
        <v>0.27749999999999964</v>
      </c>
    </row>
    <row r="23" spans="1:6" x14ac:dyDescent="0.3">
      <c r="A23">
        <f t="shared" si="5"/>
        <v>0.90000000000000024</v>
      </c>
      <c r="B23">
        <f t="shared" si="1"/>
        <v>9.9999999999999756E-2</v>
      </c>
      <c r="C23">
        <f t="shared" si="2"/>
        <v>0.31622776601683755</v>
      </c>
      <c r="D23">
        <f t="shared" si="0"/>
        <v>9.9999999999999516E-3</v>
      </c>
      <c r="E23">
        <f t="shared" si="3"/>
        <v>5.1316701949486121E-2</v>
      </c>
      <c r="F23">
        <f t="shared" si="4"/>
        <v>0.18999999999999961</v>
      </c>
    </row>
    <row r="24" spans="1:6" x14ac:dyDescent="0.3">
      <c r="A24">
        <f t="shared" si="5"/>
        <v>0.95000000000000029</v>
      </c>
      <c r="B24">
        <f t="shared" si="1"/>
        <v>4.9999999999999711E-2</v>
      </c>
      <c r="C24">
        <f t="shared" si="2"/>
        <v>0.22360679774997833</v>
      </c>
      <c r="D24">
        <f t="shared" si="0"/>
        <v>2.499999999999971E-3</v>
      </c>
      <c r="E24">
        <f t="shared" si="3"/>
        <v>2.5320565519103444E-2</v>
      </c>
      <c r="F24">
        <f t="shared" si="4"/>
        <v>9.7499999999999476E-2</v>
      </c>
    </row>
    <row r="25" spans="1:6" x14ac:dyDescent="0.3">
      <c r="A25">
        <v>0.98</v>
      </c>
      <c r="B25">
        <f t="shared" ref="B25" si="6">1-A25</f>
        <v>2.0000000000000018E-2</v>
      </c>
      <c r="C25">
        <f t="shared" ref="C25" si="7">B25^0.5</f>
        <v>0.14142135623730956</v>
      </c>
      <c r="D25">
        <f t="shared" ref="D25" si="8">B25^2</f>
        <v>4.0000000000000072E-4</v>
      </c>
      <c r="E25">
        <f t="shared" ref="E25" si="9">1-A25^0.5</f>
        <v>1.005050633883342E-2</v>
      </c>
      <c r="F25">
        <f t="shared" ref="F25" si="10">1-A25^2</f>
        <v>3.960000000000008E-2</v>
      </c>
    </row>
    <row r="26" spans="1:6" x14ac:dyDescent="0.3">
      <c r="A26">
        <f>A24+0.05</f>
        <v>1.0000000000000002</v>
      </c>
      <c r="B26">
        <f t="shared" si="1"/>
        <v>0</v>
      </c>
      <c r="C26">
        <f t="shared" si="2"/>
        <v>0</v>
      </c>
      <c r="D26">
        <f t="shared" si="0"/>
        <v>0</v>
      </c>
      <c r="E26">
        <f t="shared" si="3"/>
        <v>0</v>
      </c>
      <c r="F26">
        <f t="shared" si="4"/>
        <v>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0"/>
  <sheetViews>
    <sheetView topLeftCell="A10" zoomScale="107" zoomScaleNormal="107" workbookViewId="0">
      <selection activeCell="L35" sqref="L35"/>
    </sheetView>
  </sheetViews>
  <sheetFormatPr defaultRowHeight="14.4" x14ac:dyDescent="0.3"/>
  <cols>
    <col min="1" max="1" width="11.21875" customWidth="1"/>
    <col min="2" max="2" width="11.77734375" customWidth="1"/>
    <col min="3" max="3" width="12.6640625" customWidth="1"/>
    <col min="4" max="4" width="10.44140625" customWidth="1"/>
  </cols>
  <sheetData>
    <row r="1" spans="1:14" x14ac:dyDescent="0.3">
      <c r="C1" t="s">
        <v>246</v>
      </c>
      <c r="D1" s="4">
        <v>19</v>
      </c>
      <c r="E1" t="s">
        <v>248</v>
      </c>
      <c r="J1" s="4" t="s">
        <v>230</v>
      </c>
      <c r="K1" s="4"/>
      <c r="L1" s="4"/>
      <c r="M1" t="s">
        <v>186</v>
      </c>
    </row>
    <row r="2" spans="1:14" x14ac:dyDescent="0.3">
      <c r="C2" t="s">
        <v>232</v>
      </c>
      <c r="D2" s="4">
        <v>3.6999999999999999E-4</v>
      </c>
      <c r="E2" t="s">
        <v>190</v>
      </c>
      <c r="J2" s="4" t="s">
        <v>228</v>
      </c>
      <c r="K2" s="4"/>
      <c r="L2" s="4"/>
      <c r="M2" t="s">
        <v>111</v>
      </c>
      <c r="N2">
        <v>1</v>
      </c>
    </row>
    <row r="3" spans="1:14" x14ac:dyDescent="0.3">
      <c r="C3" t="s">
        <v>247</v>
      </c>
      <c r="D3" s="4">
        <v>2</v>
      </c>
      <c r="E3" t="s">
        <v>14</v>
      </c>
      <c r="J3" s="4" t="s">
        <v>229</v>
      </c>
      <c r="K3" s="4"/>
      <c r="L3" s="4"/>
      <c r="M3" t="s">
        <v>113</v>
      </c>
      <c r="N3" s="4">
        <v>1.73</v>
      </c>
    </row>
    <row r="4" spans="1:14" x14ac:dyDescent="0.3">
      <c r="C4" t="s">
        <v>233</v>
      </c>
      <c r="D4" s="4">
        <v>6.4999999999999997E-3</v>
      </c>
      <c r="E4" t="s">
        <v>190</v>
      </c>
      <c r="M4" t="s">
        <v>115</v>
      </c>
      <c r="N4" s="4">
        <v>0.41</v>
      </c>
    </row>
    <row r="5" spans="1:14" x14ac:dyDescent="0.3">
      <c r="M5" t="s">
        <v>114</v>
      </c>
      <c r="N5" s="4">
        <v>0.23</v>
      </c>
    </row>
    <row r="6" spans="1:14" x14ac:dyDescent="0.3">
      <c r="B6" s="5" t="s">
        <v>45</v>
      </c>
      <c r="C6" s="5" t="s">
        <v>46</v>
      </c>
      <c r="D6" s="5" t="s">
        <v>47</v>
      </c>
    </row>
    <row r="7" spans="1:14" x14ac:dyDescent="0.3">
      <c r="A7" t="s">
        <v>185</v>
      </c>
      <c r="B7">
        <f>N2*12+N3+N4*16+N5*14</f>
        <v>23.509999999999998</v>
      </c>
      <c r="C7">
        <v>46</v>
      </c>
      <c r="D7" s="26">
        <v>180</v>
      </c>
    </row>
    <row r="8" spans="1:14" x14ac:dyDescent="0.3">
      <c r="A8" t="s">
        <v>191</v>
      </c>
      <c r="B8">
        <f>N2*4+N3-2*N4-3*N5</f>
        <v>4.22</v>
      </c>
      <c r="C8">
        <v>12</v>
      </c>
      <c r="D8">
        <v>24</v>
      </c>
    </row>
    <row r="9" spans="1:14" x14ac:dyDescent="0.3">
      <c r="A9" t="s">
        <v>187</v>
      </c>
      <c r="B9" s="4">
        <v>0.48</v>
      </c>
    </row>
    <row r="10" spans="1:14" x14ac:dyDescent="0.3">
      <c r="A10" t="s">
        <v>231</v>
      </c>
      <c r="B10" s="4">
        <v>72</v>
      </c>
      <c r="C10" s="26"/>
    </row>
    <row r="12" spans="1:14" x14ac:dyDescent="0.3">
      <c r="A12" s="6"/>
    </row>
    <row r="13" spans="1:14" s="5" customFormat="1" x14ac:dyDescent="0.3">
      <c r="A13" s="5" t="s">
        <v>236</v>
      </c>
      <c r="B13" s="5" t="s">
        <v>237</v>
      </c>
      <c r="C13" s="5" t="s">
        <v>242</v>
      </c>
      <c r="D13" s="5" t="s">
        <v>242</v>
      </c>
      <c r="E13" s="5" t="s">
        <v>243</v>
      </c>
      <c r="F13" s="5" t="s">
        <v>243</v>
      </c>
      <c r="G13" s="5" t="s">
        <v>244</v>
      </c>
      <c r="H13" s="5" t="s">
        <v>244</v>
      </c>
      <c r="I13" s="5" t="s">
        <v>245</v>
      </c>
    </row>
    <row r="14" spans="1:14" s="5" customFormat="1" x14ac:dyDescent="0.3">
      <c r="A14" s="5" t="s">
        <v>235</v>
      </c>
      <c r="B14" s="5" t="s">
        <v>164</v>
      </c>
      <c r="C14" s="5" t="s">
        <v>177</v>
      </c>
      <c r="D14" s="5" t="s">
        <v>118</v>
      </c>
      <c r="E14" s="5" t="s">
        <v>239</v>
      </c>
      <c r="F14" s="5" t="s">
        <v>240</v>
      </c>
      <c r="G14" s="5" t="s">
        <v>239</v>
      </c>
      <c r="H14" s="5" t="s">
        <v>118</v>
      </c>
      <c r="I14" s="5" t="s">
        <v>241</v>
      </c>
    </row>
    <row r="15" spans="1:14" x14ac:dyDescent="0.3">
      <c r="A15">
        <v>0</v>
      </c>
      <c r="B15">
        <f>(1-A15/B$10)*B$9</f>
        <v>0.48</v>
      </c>
      <c r="C15">
        <f t="shared" ref="C15:C46" si="0">B15*I15+G15</f>
        <v>11.12</v>
      </c>
      <c r="D15">
        <f>C15/$D$7*$B$7</f>
        <v>1.4523955555555552</v>
      </c>
      <c r="E15">
        <f>$C$7*F15/$B$7</f>
        <v>5.353279077461127</v>
      </c>
      <c r="F15">
        <f>(B15*$B$8-D15*$D$8)/-$C$8</f>
        <v>2.7359911111111104</v>
      </c>
      <c r="G15">
        <f>$D$3*(1+$D$4*A15)</f>
        <v>2</v>
      </c>
      <c r="H15">
        <f>G15/$D$7*$B$7</f>
        <v>0.26122222222222219</v>
      </c>
      <c r="I15">
        <f>$D$1*(1+$D$2*A15)</f>
        <v>19</v>
      </c>
    </row>
    <row r="16" spans="1:14" x14ac:dyDescent="0.3">
      <c r="A16">
        <f>A15+1</f>
        <v>1</v>
      </c>
      <c r="B16">
        <f t="shared" ref="B16:B79" si="1">(1-A16/B$10)*B$9</f>
        <v>0.47333333333333333</v>
      </c>
      <c r="C16">
        <f t="shared" si="0"/>
        <v>11.009660866666666</v>
      </c>
      <c r="D16">
        <f t="shared" ref="D16:D79" si="2">C16/$D$7*$B$7</f>
        <v>1.4379840387518517</v>
      </c>
      <c r="E16">
        <f t="shared" ref="E16:E79" si="3">$C$7*F16/$B$7</f>
        <v>5.3014706937309573</v>
      </c>
      <c r="F16">
        <f t="shared" ref="F16:F79" si="4">(B16*$B$8-D16*$D$8)/-$C$8</f>
        <v>2.7095125219481475</v>
      </c>
      <c r="G16">
        <f t="shared" ref="G16:G79" si="5">$D$3*(1+$D$4*A16)</f>
        <v>2.0129999999999999</v>
      </c>
      <c r="H16">
        <f t="shared" ref="H16:H79" si="6">G16/$D$7*$B$7</f>
        <v>0.26292016666666662</v>
      </c>
      <c r="I16">
        <f t="shared" ref="I16:I79" si="7">$D$1*(1+$D$2*A16)</f>
        <v>19.00703</v>
      </c>
    </row>
    <row r="17" spans="1:9" x14ac:dyDescent="0.3">
      <c r="A17">
        <f t="shared" ref="A17:A80" si="8">A16+1</f>
        <v>2</v>
      </c>
      <c r="B17">
        <f t="shared" si="1"/>
        <v>0.46666666666666662</v>
      </c>
      <c r="C17">
        <f t="shared" si="0"/>
        <v>10.899227999999999</v>
      </c>
      <c r="D17">
        <f t="shared" si="2"/>
        <v>1.4235602793333331</v>
      </c>
      <c r="E17">
        <f t="shared" si="3"/>
        <v>5.2496144018526394</v>
      </c>
      <c r="F17">
        <f t="shared" si="4"/>
        <v>2.683009447555555</v>
      </c>
      <c r="G17">
        <f t="shared" si="5"/>
        <v>2.0259999999999998</v>
      </c>
      <c r="H17">
        <f t="shared" si="6"/>
        <v>0.26461811111111105</v>
      </c>
      <c r="I17">
        <f t="shared" si="7"/>
        <v>19.014060000000001</v>
      </c>
    </row>
    <row r="18" spans="1:9" x14ac:dyDescent="0.3">
      <c r="A18">
        <f t="shared" si="8"/>
        <v>3</v>
      </c>
      <c r="B18">
        <f t="shared" si="1"/>
        <v>0.46</v>
      </c>
      <c r="C18">
        <f t="shared" si="0"/>
        <v>10.788701399999999</v>
      </c>
      <c r="D18">
        <f t="shared" si="2"/>
        <v>1.4091242772999997</v>
      </c>
      <c r="E18">
        <f t="shared" si="3"/>
        <v>5.1977102018261725</v>
      </c>
      <c r="F18">
        <f t="shared" si="4"/>
        <v>2.6564818879333325</v>
      </c>
      <c r="G18">
        <f t="shared" si="5"/>
        <v>2.0390000000000001</v>
      </c>
      <c r="H18">
        <f t="shared" si="6"/>
        <v>0.26631605555555554</v>
      </c>
      <c r="I18">
        <f t="shared" si="7"/>
        <v>19.021089999999997</v>
      </c>
    </row>
    <row r="19" spans="1:9" x14ac:dyDescent="0.3">
      <c r="A19">
        <f t="shared" si="8"/>
        <v>4</v>
      </c>
      <c r="B19">
        <f t="shared" si="1"/>
        <v>0.45333333333333331</v>
      </c>
      <c r="C19">
        <f t="shared" si="0"/>
        <v>10.678081066666666</v>
      </c>
      <c r="D19">
        <f t="shared" si="2"/>
        <v>1.3946760326518515</v>
      </c>
      <c r="E19">
        <f t="shared" si="3"/>
        <v>5.1457580936515575</v>
      </c>
      <c r="F19">
        <f t="shared" si="4"/>
        <v>2.6299298430814808</v>
      </c>
      <c r="G19">
        <f t="shared" si="5"/>
        <v>2.052</v>
      </c>
      <c r="H19">
        <f t="shared" si="6"/>
        <v>0.26801399999999997</v>
      </c>
      <c r="I19">
        <f t="shared" si="7"/>
        <v>19.028119999999998</v>
      </c>
    </row>
    <row r="20" spans="1:9" x14ac:dyDescent="0.3">
      <c r="A20">
        <f t="shared" si="8"/>
        <v>5</v>
      </c>
      <c r="B20">
        <f t="shared" si="1"/>
        <v>0.44666666666666666</v>
      </c>
      <c r="C20">
        <f t="shared" si="0"/>
        <v>10.567366999999999</v>
      </c>
      <c r="D20">
        <f t="shared" si="2"/>
        <v>1.3802155453888887</v>
      </c>
      <c r="E20">
        <f t="shared" si="3"/>
        <v>5.093758077328796</v>
      </c>
      <c r="F20">
        <f t="shared" si="4"/>
        <v>2.6033533129999999</v>
      </c>
      <c r="G20">
        <f t="shared" si="5"/>
        <v>2.0649999999999999</v>
      </c>
      <c r="H20">
        <f t="shared" si="6"/>
        <v>0.26971194444444441</v>
      </c>
      <c r="I20">
        <f t="shared" si="7"/>
        <v>19.035149999999998</v>
      </c>
    </row>
    <row r="21" spans="1:9" x14ac:dyDescent="0.3">
      <c r="A21">
        <f t="shared" si="8"/>
        <v>6</v>
      </c>
      <c r="B21">
        <f t="shared" si="1"/>
        <v>0.43999999999999995</v>
      </c>
      <c r="C21">
        <f t="shared" si="0"/>
        <v>10.456559199999997</v>
      </c>
      <c r="D21">
        <f t="shared" si="2"/>
        <v>1.3657428155111107</v>
      </c>
      <c r="E21">
        <f t="shared" si="3"/>
        <v>5.0417101528578847</v>
      </c>
      <c r="F21">
        <f t="shared" si="4"/>
        <v>2.5767522976888881</v>
      </c>
      <c r="G21">
        <f t="shared" si="5"/>
        <v>2.0779999999999998</v>
      </c>
      <c r="H21">
        <f t="shared" si="6"/>
        <v>0.27140988888888884</v>
      </c>
      <c r="I21">
        <f t="shared" si="7"/>
        <v>19.042179999999998</v>
      </c>
    </row>
    <row r="22" spans="1:9" x14ac:dyDescent="0.3">
      <c r="A22">
        <f t="shared" si="8"/>
        <v>7</v>
      </c>
      <c r="B22">
        <f t="shared" si="1"/>
        <v>0.43333333333333335</v>
      </c>
      <c r="C22">
        <f t="shared" si="0"/>
        <v>10.345657666666668</v>
      </c>
      <c r="D22">
        <f t="shared" si="2"/>
        <v>1.3512578430185185</v>
      </c>
      <c r="E22">
        <f t="shared" si="3"/>
        <v>4.989614320238827</v>
      </c>
      <c r="F22">
        <f t="shared" si="4"/>
        <v>2.5501267971481481</v>
      </c>
      <c r="G22">
        <f t="shared" si="5"/>
        <v>2.0910000000000002</v>
      </c>
      <c r="H22">
        <f t="shared" si="6"/>
        <v>0.27310783333333333</v>
      </c>
      <c r="I22">
        <f t="shared" si="7"/>
        <v>19.049210000000002</v>
      </c>
    </row>
    <row r="23" spans="1:9" x14ac:dyDescent="0.3">
      <c r="A23">
        <f t="shared" si="8"/>
        <v>8</v>
      </c>
      <c r="B23">
        <f t="shared" si="1"/>
        <v>0.42666666666666664</v>
      </c>
      <c r="C23">
        <f t="shared" si="0"/>
        <v>10.234662400000001</v>
      </c>
      <c r="D23">
        <f t="shared" si="2"/>
        <v>1.3367606279111111</v>
      </c>
      <c r="E23">
        <f t="shared" si="3"/>
        <v>4.9374705794716194</v>
      </c>
      <c r="F23">
        <f t="shared" si="4"/>
        <v>2.5234768113777775</v>
      </c>
      <c r="G23">
        <f t="shared" si="5"/>
        <v>2.1040000000000001</v>
      </c>
      <c r="H23">
        <f t="shared" si="6"/>
        <v>0.27480577777777776</v>
      </c>
      <c r="I23">
        <f t="shared" si="7"/>
        <v>19.056240000000003</v>
      </c>
    </row>
    <row r="24" spans="1:9" x14ac:dyDescent="0.3">
      <c r="A24">
        <f t="shared" si="8"/>
        <v>9</v>
      </c>
      <c r="B24">
        <f t="shared" si="1"/>
        <v>0.42</v>
      </c>
      <c r="C24">
        <f t="shared" si="0"/>
        <v>10.123573400000001</v>
      </c>
      <c r="D24">
        <f t="shared" si="2"/>
        <v>1.3222511701888888</v>
      </c>
      <c r="E24">
        <f t="shared" si="3"/>
        <v>4.8852789305562645</v>
      </c>
      <c r="F24">
        <f t="shared" si="4"/>
        <v>2.4968023403777777</v>
      </c>
      <c r="G24">
        <f t="shared" si="5"/>
        <v>2.117</v>
      </c>
      <c r="H24">
        <f t="shared" si="6"/>
        <v>0.27650372222222219</v>
      </c>
      <c r="I24">
        <f t="shared" si="7"/>
        <v>19.063270000000003</v>
      </c>
    </row>
    <row r="25" spans="1:9" x14ac:dyDescent="0.3">
      <c r="A25">
        <f t="shared" si="8"/>
        <v>10</v>
      </c>
      <c r="B25">
        <f t="shared" si="1"/>
        <v>0.41333333333333333</v>
      </c>
      <c r="C25">
        <f t="shared" si="0"/>
        <v>10.012390666666667</v>
      </c>
      <c r="D25">
        <f t="shared" si="2"/>
        <v>1.3077294698518518</v>
      </c>
      <c r="E25">
        <f t="shared" si="3"/>
        <v>4.8330393734927615</v>
      </c>
      <c r="F25">
        <f t="shared" si="4"/>
        <v>2.4701033841481479</v>
      </c>
      <c r="G25">
        <f t="shared" si="5"/>
        <v>2.13</v>
      </c>
      <c r="H25">
        <f t="shared" si="6"/>
        <v>0.27820166666666662</v>
      </c>
      <c r="I25">
        <f t="shared" si="7"/>
        <v>19.0703</v>
      </c>
    </row>
    <row r="26" spans="1:9" x14ac:dyDescent="0.3">
      <c r="A26">
        <f t="shared" si="8"/>
        <v>11</v>
      </c>
      <c r="B26">
        <f t="shared" si="1"/>
        <v>0.40666666666666662</v>
      </c>
      <c r="C26">
        <f t="shared" si="0"/>
        <v>9.9011141999999985</v>
      </c>
      <c r="D26">
        <f t="shared" si="2"/>
        <v>1.2931955268999997</v>
      </c>
      <c r="E26">
        <f t="shared" si="3"/>
        <v>4.7807519082811094</v>
      </c>
      <c r="F26">
        <f t="shared" si="4"/>
        <v>2.4433799426888885</v>
      </c>
      <c r="G26">
        <f t="shared" si="5"/>
        <v>2.1429999999999998</v>
      </c>
      <c r="H26">
        <f t="shared" si="6"/>
        <v>0.27989961111111106</v>
      </c>
      <c r="I26">
        <f t="shared" si="7"/>
        <v>19.07733</v>
      </c>
    </row>
    <row r="27" spans="1:9" x14ac:dyDescent="0.3">
      <c r="A27">
        <f t="shared" si="8"/>
        <v>12</v>
      </c>
      <c r="B27">
        <f t="shared" si="1"/>
        <v>0.4</v>
      </c>
      <c r="C27">
        <f t="shared" si="0"/>
        <v>9.7897440000000007</v>
      </c>
      <c r="D27">
        <f t="shared" si="2"/>
        <v>1.2786493413333333</v>
      </c>
      <c r="E27">
        <f t="shared" si="3"/>
        <v>4.7284165349213101</v>
      </c>
      <c r="F27">
        <f t="shared" si="4"/>
        <v>2.4166320159999999</v>
      </c>
      <c r="G27">
        <f t="shared" si="5"/>
        <v>2.1560000000000001</v>
      </c>
      <c r="H27">
        <f t="shared" si="6"/>
        <v>0.28159755555555555</v>
      </c>
      <c r="I27">
        <f t="shared" si="7"/>
        <v>19.08436</v>
      </c>
    </row>
    <row r="28" spans="1:9" x14ac:dyDescent="0.3">
      <c r="A28">
        <f t="shared" si="8"/>
        <v>13</v>
      </c>
      <c r="B28">
        <f t="shared" si="1"/>
        <v>0.39333333333333331</v>
      </c>
      <c r="C28">
        <f t="shared" si="0"/>
        <v>9.678280066666666</v>
      </c>
      <c r="D28">
        <f t="shared" si="2"/>
        <v>1.2640909131518516</v>
      </c>
      <c r="E28">
        <f t="shared" si="3"/>
        <v>4.6760332534133626</v>
      </c>
      <c r="F28">
        <f t="shared" si="4"/>
        <v>2.3898596040814812</v>
      </c>
      <c r="G28">
        <f t="shared" si="5"/>
        <v>2.169</v>
      </c>
      <c r="H28">
        <f t="shared" si="6"/>
        <v>0.28329549999999998</v>
      </c>
      <c r="I28">
        <f t="shared" si="7"/>
        <v>19.091390000000001</v>
      </c>
    </row>
    <row r="29" spans="1:9" x14ac:dyDescent="0.3">
      <c r="A29">
        <f t="shared" si="8"/>
        <v>14</v>
      </c>
      <c r="B29">
        <f t="shared" si="1"/>
        <v>0.38666666666666666</v>
      </c>
      <c r="C29">
        <f t="shared" si="0"/>
        <v>9.5667223999999997</v>
      </c>
      <c r="D29">
        <f t="shared" si="2"/>
        <v>1.2495202423555554</v>
      </c>
      <c r="E29">
        <f t="shared" si="3"/>
        <v>4.6236020637572661</v>
      </c>
      <c r="F29">
        <f t="shared" si="4"/>
        <v>2.363062706933333</v>
      </c>
      <c r="G29">
        <f t="shared" si="5"/>
        <v>2.1819999999999999</v>
      </c>
      <c r="H29">
        <f t="shared" si="6"/>
        <v>0.28499344444444441</v>
      </c>
      <c r="I29">
        <f t="shared" si="7"/>
        <v>19.098420000000001</v>
      </c>
    </row>
    <row r="30" spans="1:9" x14ac:dyDescent="0.3">
      <c r="A30">
        <f t="shared" si="8"/>
        <v>15</v>
      </c>
      <c r="B30">
        <f t="shared" si="1"/>
        <v>0.37999999999999995</v>
      </c>
      <c r="C30">
        <f t="shared" si="0"/>
        <v>9.4550709999999984</v>
      </c>
      <c r="D30">
        <f t="shared" si="2"/>
        <v>1.2349373289444441</v>
      </c>
      <c r="E30">
        <f t="shared" si="3"/>
        <v>4.5711229659530206</v>
      </c>
      <c r="F30">
        <f t="shared" si="4"/>
        <v>2.3362413245555547</v>
      </c>
      <c r="G30">
        <f t="shared" si="5"/>
        <v>2.1949999999999998</v>
      </c>
      <c r="H30">
        <f t="shared" si="6"/>
        <v>0.28669138888888884</v>
      </c>
      <c r="I30">
        <f t="shared" si="7"/>
        <v>19.105449999999998</v>
      </c>
    </row>
    <row r="31" spans="1:9" x14ac:dyDescent="0.3">
      <c r="A31">
        <f t="shared" si="8"/>
        <v>16</v>
      </c>
      <c r="B31">
        <f t="shared" si="1"/>
        <v>0.37333333333333335</v>
      </c>
      <c r="C31">
        <f t="shared" si="0"/>
        <v>9.3433258666666674</v>
      </c>
      <c r="D31">
        <f t="shared" si="2"/>
        <v>1.2203421729185184</v>
      </c>
      <c r="E31">
        <f t="shared" si="3"/>
        <v>4.5185959600006305</v>
      </c>
      <c r="F31">
        <f t="shared" si="4"/>
        <v>2.3093954569481481</v>
      </c>
      <c r="G31">
        <f t="shared" si="5"/>
        <v>2.2080000000000002</v>
      </c>
      <c r="H31">
        <f t="shared" si="6"/>
        <v>0.28838933333333333</v>
      </c>
      <c r="I31">
        <f t="shared" si="7"/>
        <v>19.112479999999998</v>
      </c>
    </row>
    <row r="32" spans="1:9" x14ac:dyDescent="0.3">
      <c r="A32">
        <f t="shared" si="8"/>
        <v>17</v>
      </c>
      <c r="B32">
        <f t="shared" si="1"/>
        <v>0.36666666666666664</v>
      </c>
      <c r="C32">
        <f t="shared" si="0"/>
        <v>9.2314869999999978</v>
      </c>
      <c r="D32">
        <f t="shared" si="2"/>
        <v>1.2057347742777775</v>
      </c>
      <c r="E32">
        <f t="shared" si="3"/>
        <v>4.4660210459000895</v>
      </c>
      <c r="F32">
        <f t="shared" si="4"/>
        <v>2.2825251041111105</v>
      </c>
      <c r="G32">
        <f t="shared" si="5"/>
        <v>2.2210000000000001</v>
      </c>
      <c r="H32">
        <f t="shared" si="6"/>
        <v>0.29008727777777776</v>
      </c>
      <c r="I32">
        <f t="shared" si="7"/>
        <v>19.119509999999998</v>
      </c>
    </row>
    <row r="33" spans="1:9" x14ac:dyDescent="0.3">
      <c r="A33">
        <f t="shared" si="8"/>
        <v>18</v>
      </c>
      <c r="B33">
        <f t="shared" si="1"/>
        <v>0.36</v>
      </c>
      <c r="C33">
        <f t="shared" si="0"/>
        <v>9.1195544000000002</v>
      </c>
      <c r="D33">
        <f t="shared" si="2"/>
        <v>1.1911151330222221</v>
      </c>
      <c r="E33">
        <f t="shared" si="3"/>
        <v>4.4133982236514004</v>
      </c>
      <c r="F33">
        <f t="shared" si="4"/>
        <v>2.2556302660444438</v>
      </c>
      <c r="G33">
        <f t="shared" si="5"/>
        <v>2.234</v>
      </c>
      <c r="H33">
        <f t="shared" si="6"/>
        <v>0.2917852222222222</v>
      </c>
      <c r="I33">
        <f t="shared" si="7"/>
        <v>19.126540000000002</v>
      </c>
    </row>
    <row r="34" spans="1:9" x14ac:dyDescent="0.3">
      <c r="A34">
        <f t="shared" si="8"/>
        <v>19</v>
      </c>
      <c r="B34">
        <f t="shared" si="1"/>
        <v>0.35333333333333333</v>
      </c>
      <c r="C34">
        <f t="shared" si="0"/>
        <v>9.0075280666666675</v>
      </c>
      <c r="D34">
        <f t="shared" si="2"/>
        <v>1.176483249151852</v>
      </c>
      <c r="E34">
        <f t="shared" si="3"/>
        <v>4.360727493254565</v>
      </c>
      <c r="F34">
        <f t="shared" si="4"/>
        <v>2.2287109427481484</v>
      </c>
      <c r="G34">
        <f t="shared" si="5"/>
        <v>2.2469999999999999</v>
      </c>
      <c r="H34">
        <f t="shared" si="6"/>
        <v>0.29348316666666663</v>
      </c>
      <c r="I34">
        <f t="shared" si="7"/>
        <v>19.133570000000002</v>
      </c>
    </row>
    <row r="35" spans="1:9" x14ac:dyDescent="0.3">
      <c r="A35">
        <f t="shared" si="8"/>
        <v>20</v>
      </c>
      <c r="B35">
        <f t="shared" si="1"/>
        <v>0.34666666666666662</v>
      </c>
      <c r="C35">
        <f t="shared" si="0"/>
        <v>8.8954079999999998</v>
      </c>
      <c r="D35">
        <f t="shared" si="2"/>
        <v>1.1618391226666664</v>
      </c>
      <c r="E35">
        <f t="shared" si="3"/>
        <v>4.3080088547095787</v>
      </c>
      <c r="F35">
        <f t="shared" si="4"/>
        <v>2.2017671342222216</v>
      </c>
      <c r="G35">
        <f t="shared" si="5"/>
        <v>2.2599999999999998</v>
      </c>
      <c r="H35">
        <f t="shared" si="6"/>
        <v>0.29518111111111106</v>
      </c>
      <c r="I35">
        <f t="shared" si="7"/>
        <v>19.140600000000003</v>
      </c>
    </row>
    <row r="36" spans="1:9" x14ac:dyDescent="0.3">
      <c r="A36">
        <f t="shared" si="8"/>
        <v>21</v>
      </c>
      <c r="B36">
        <f t="shared" si="1"/>
        <v>0.33999999999999997</v>
      </c>
      <c r="C36">
        <f t="shared" si="0"/>
        <v>8.7831941999999987</v>
      </c>
      <c r="D36">
        <f t="shared" si="2"/>
        <v>1.1471827535666663</v>
      </c>
      <c r="E36">
        <f t="shared" si="3"/>
        <v>4.2552423080164461</v>
      </c>
      <c r="F36">
        <f t="shared" si="4"/>
        <v>2.1747988404666661</v>
      </c>
      <c r="G36">
        <f t="shared" si="5"/>
        <v>2.2730000000000001</v>
      </c>
      <c r="H36">
        <f t="shared" si="6"/>
        <v>0.29687905555555555</v>
      </c>
      <c r="I36">
        <f t="shared" si="7"/>
        <v>19.147629999999999</v>
      </c>
    </row>
    <row r="37" spans="1:9" x14ac:dyDescent="0.3">
      <c r="A37">
        <f t="shared" si="8"/>
        <v>22</v>
      </c>
      <c r="B37">
        <f t="shared" si="1"/>
        <v>0.33333333333333331</v>
      </c>
      <c r="C37">
        <f t="shared" si="0"/>
        <v>8.6708866666666662</v>
      </c>
      <c r="D37">
        <f t="shared" si="2"/>
        <v>1.1325141418518518</v>
      </c>
      <c r="E37">
        <f t="shared" si="3"/>
        <v>4.2024278531751671</v>
      </c>
      <c r="F37">
        <f t="shared" si="4"/>
        <v>2.1478060614814818</v>
      </c>
      <c r="G37">
        <f t="shared" si="5"/>
        <v>2.286</v>
      </c>
      <c r="H37">
        <f t="shared" si="6"/>
        <v>0.29857699999999998</v>
      </c>
      <c r="I37">
        <f t="shared" si="7"/>
        <v>19.15466</v>
      </c>
    </row>
    <row r="38" spans="1:9" x14ac:dyDescent="0.3">
      <c r="A38">
        <f t="shared" si="8"/>
        <v>23</v>
      </c>
      <c r="B38">
        <f t="shared" si="1"/>
        <v>0.32666666666666666</v>
      </c>
      <c r="C38">
        <f t="shared" si="0"/>
        <v>8.5584854000000004</v>
      </c>
      <c r="D38">
        <f t="shared" si="2"/>
        <v>1.1178332875222221</v>
      </c>
      <c r="E38">
        <f t="shared" si="3"/>
        <v>4.1495654901857364</v>
      </c>
      <c r="F38">
        <f t="shared" si="4"/>
        <v>2.1207887972666666</v>
      </c>
      <c r="G38">
        <f t="shared" si="5"/>
        <v>2.2989999999999999</v>
      </c>
      <c r="H38">
        <f t="shared" si="6"/>
        <v>0.30027494444444441</v>
      </c>
      <c r="I38">
        <f t="shared" si="7"/>
        <v>19.16169</v>
      </c>
    </row>
    <row r="39" spans="1:9" x14ac:dyDescent="0.3">
      <c r="A39">
        <f t="shared" si="8"/>
        <v>24</v>
      </c>
      <c r="B39">
        <f t="shared" si="1"/>
        <v>0.32</v>
      </c>
      <c r="C39">
        <f t="shared" si="0"/>
        <v>8.4459903999999995</v>
      </c>
      <c r="D39">
        <f t="shared" si="2"/>
        <v>1.1031401905777776</v>
      </c>
      <c r="E39">
        <f t="shared" si="3"/>
        <v>4.0966552190481584</v>
      </c>
      <c r="F39">
        <f t="shared" si="4"/>
        <v>2.0937470478222218</v>
      </c>
      <c r="G39">
        <f t="shared" si="5"/>
        <v>2.3119999999999998</v>
      </c>
      <c r="H39">
        <f t="shared" si="6"/>
        <v>0.30197288888888885</v>
      </c>
      <c r="I39">
        <f t="shared" si="7"/>
        <v>19.16872</v>
      </c>
    </row>
    <row r="40" spans="1:9" x14ac:dyDescent="0.3">
      <c r="A40">
        <f t="shared" si="8"/>
        <v>25</v>
      </c>
      <c r="B40">
        <f t="shared" si="1"/>
        <v>0.31333333333333335</v>
      </c>
      <c r="C40">
        <f t="shared" si="0"/>
        <v>8.333401666666667</v>
      </c>
      <c r="D40">
        <f t="shared" si="2"/>
        <v>1.0884348510185184</v>
      </c>
      <c r="E40">
        <f t="shared" si="3"/>
        <v>4.0436970397624341</v>
      </c>
      <c r="F40">
        <f t="shared" si="4"/>
        <v>2.0666808131481482</v>
      </c>
      <c r="G40">
        <f t="shared" si="5"/>
        <v>2.3250000000000002</v>
      </c>
      <c r="H40">
        <f t="shared" si="6"/>
        <v>0.30367083333333333</v>
      </c>
      <c r="I40">
        <f t="shared" si="7"/>
        <v>19.175750000000001</v>
      </c>
    </row>
    <row r="41" spans="1:9" x14ac:dyDescent="0.3">
      <c r="A41">
        <f t="shared" si="8"/>
        <v>26</v>
      </c>
      <c r="B41">
        <f t="shared" si="1"/>
        <v>0.30666666666666664</v>
      </c>
      <c r="C41">
        <f t="shared" si="0"/>
        <v>8.2207191999999996</v>
      </c>
      <c r="D41">
        <f t="shared" si="2"/>
        <v>1.0737172688444443</v>
      </c>
      <c r="E41">
        <f t="shared" si="3"/>
        <v>3.9906909523285599</v>
      </c>
      <c r="F41">
        <f t="shared" si="4"/>
        <v>2.0395900932444442</v>
      </c>
      <c r="G41">
        <f t="shared" si="5"/>
        <v>2.3380000000000001</v>
      </c>
      <c r="H41">
        <f t="shared" si="6"/>
        <v>0.30536877777777777</v>
      </c>
      <c r="I41">
        <f t="shared" si="7"/>
        <v>19.182780000000001</v>
      </c>
    </row>
    <row r="42" spans="1:9" x14ac:dyDescent="0.3">
      <c r="A42">
        <f t="shared" si="8"/>
        <v>27</v>
      </c>
      <c r="B42">
        <f t="shared" si="1"/>
        <v>0.3</v>
      </c>
      <c r="C42">
        <f t="shared" si="0"/>
        <v>8.1079429999999988</v>
      </c>
      <c r="D42">
        <f t="shared" si="2"/>
        <v>1.0589874440555553</v>
      </c>
      <c r="E42">
        <f t="shared" si="3"/>
        <v>3.9376369567465379</v>
      </c>
      <c r="F42">
        <f t="shared" si="4"/>
        <v>2.012474888111111</v>
      </c>
      <c r="G42">
        <f t="shared" si="5"/>
        <v>2.351</v>
      </c>
      <c r="H42">
        <f t="shared" si="6"/>
        <v>0.3070667222222222</v>
      </c>
      <c r="I42">
        <f t="shared" si="7"/>
        <v>19.189809999999998</v>
      </c>
    </row>
    <row r="43" spans="1:9" x14ac:dyDescent="0.3">
      <c r="A43">
        <f t="shared" si="8"/>
        <v>28</v>
      </c>
      <c r="B43">
        <f t="shared" si="1"/>
        <v>0.29333333333333333</v>
      </c>
      <c r="C43">
        <f t="shared" si="0"/>
        <v>7.9950730666666656</v>
      </c>
      <c r="D43">
        <f t="shared" si="2"/>
        <v>1.0442453766518516</v>
      </c>
      <c r="E43">
        <f t="shared" si="3"/>
        <v>3.8845350530163674</v>
      </c>
      <c r="F43">
        <f t="shared" si="4"/>
        <v>1.9853351977481477</v>
      </c>
      <c r="G43">
        <f t="shared" si="5"/>
        <v>2.3639999999999999</v>
      </c>
      <c r="H43">
        <f t="shared" si="6"/>
        <v>0.30876466666666663</v>
      </c>
      <c r="I43">
        <f t="shared" si="7"/>
        <v>19.196839999999998</v>
      </c>
    </row>
    <row r="44" spans="1:9" x14ac:dyDescent="0.3">
      <c r="A44">
        <f t="shared" si="8"/>
        <v>29</v>
      </c>
      <c r="B44">
        <f t="shared" si="1"/>
        <v>0.28666666666666663</v>
      </c>
      <c r="C44">
        <f t="shared" si="0"/>
        <v>7.8821093999999983</v>
      </c>
      <c r="D44">
        <f t="shared" si="2"/>
        <v>1.029491066633333</v>
      </c>
      <c r="E44">
        <f t="shared" si="3"/>
        <v>3.8313852411380496</v>
      </c>
      <c r="F44">
        <f t="shared" si="4"/>
        <v>1.9581710221555551</v>
      </c>
      <c r="G44">
        <f t="shared" si="5"/>
        <v>2.3769999999999998</v>
      </c>
      <c r="H44">
        <f t="shared" si="6"/>
        <v>0.31046261111111106</v>
      </c>
      <c r="I44">
        <f t="shared" si="7"/>
        <v>19.203869999999998</v>
      </c>
    </row>
    <row r="45" spans="1:9" x14ac:dyDescent="0.3">
      <c r="A45">
        <f t="shared" si="8"/>
        <v>30</v>
      </c>
      <c r="B45">
        <f t="shared" si="1"/>
        <v>0.27999999999999997</v>
      </c>
      <c r="C45">
        <f t="shared" si="0"/>
        <v>7.7690520000000003</v>
      </c>
      <c r="D45">
        <f t="shared" si="2"/>
        <v>1.0147245140000001</v>
      </c>
      <c r="E45">
        <f t="shared" si="3"/>
        <v>3.7781875211115845</v>
      </c>
      <c r="F45">
        <f t="shared" si="4"/>
        <v>1.9309823613333335</v>
      </c>
      <c r="G45">
        <f t="shared" si="5"/>
        <v>2.39</v>
      </c>
      <c r="H45">
        <f t="shared" si="6"/>
        <v>0.31216055555555555</v>
      </c>
      <c r="I45">
        <f t="shared" si="7"/>
        <v>19.210900000000002</v>
      </c>
    </row>
    <row r="46" spans="1:9" x14ac:dyDescent="0.3">
      <c r="A46">
        <f t="shared" si="8"/>
        <v>31</v>
      </c>
      <c r="B46">
        <f t="shared" si="1"/>
        <v>0.27333333333333332</v>
      </c>
      <c r="C46">
        <f t="shared" si="0"/>
        <v>7.6559008666666664</v>
      </c>
      <c r="D46">
        <f t="shared" si="2"/>
        <v>0.99994571875185179</v>
      </c>
      <c r="E46">
        <f t="shared" si="3"/>
        <v>3.7249418929369691</v>
      </c>
      <c r="F46">
        <f t="shared" si="4"/>
        <v>1.9037692152814814</v>
      </c>
      <c r="G46">
        <f t="shared" si="5"/>
        <v>2.403</v>
      </c>
      <c r="H46">
        <f t="shared" si="6"/>
        <v>0.31385849999999998</v>
      </c>
      <c r="I46">
        <f t="shared" si="7"/>
        <v>19.217930000000003</v>
      </c>
    </row>
    <row r="47" spans="1:9" x14ac:dyDescent="0.3">
      <c r="A47">
        <f t="shared" si="8"/>
        <v>32</v>
      </c>
      <c r="B47">
        <f t="shared" si="1"/>
        <v>0.26666666666666666</v>
      </c>
      <c r="C47">
        <f t="shared" ref="C47:C78" si="9">B47*I47+G47</f>
        <v>7.5426560000000009</v>
      </c>
      <c r="D47">
        <f t="shared" si="2"/>
        <v>0.98515468088888891</v>
      </c>
      <c r="E47">
        <f t="shared" si="3"/>
        <v>3.6716483566142073</v>
      </c>
      <c r="F47">
        <f t="shared" si="4"/>
        <v>1.8765315840000001</v>
      </c>
      <c r="G47">
        <f t="shared" si="5"/>
        <v>2.4159999999999999</v>
      </c>
      <c r="H47">
        <f t="shared" si="6"/>
        <v>0.31555644444444442</v>
      </c>
      <c r="I47">
        <f t="shared" si="7"/>
        <v>19.224960000000003</v>
      </c>
    </row>
    <row r="48" spans="1:9" x14ac:dyDescent="0.3">
      <c r="A48">
        <f t="shared" si="8"/>
        <v>33</v>
      </c>
      <c r="B48">
        <f t="shared" si="1"/>
        <v>0.26</v>
      </c>
      <c r="C48">
        <f t="shared" si="9"/>
        <v>7.4293174000000004</v>
      </c>
      <c r="D48">
        <f t="shared" si="2"/>
        <v>0.97035140041111112</v>
      </c>
      <c r="E48">
        <f t="shared" si="3"/>
        <v>3.618306912143296</v>
      </c>
      <c r="F48">
        <f t="shared" si="4"/>
        <v>1.8492694674888888</v>
      </c>
      <c r="G48">
        <f t="shared" si="5"/>
        <v>2.4289999999999998</v>
      </c>
      <c r="H48">
        <f t="shared" si="6"/>
        <v>0.31725438888888885</v>
      </c>
      <c r="I48">
        <f t="shared" si="7"/>
        <v>19.23199</v>
      </c>
    </row>
    <row r="49" spans="1:9" x14ac:dyDescent="0.3">
      <c r="A49">
        <f t="shared" si="8"/>
        <v>34</v>
      </c>
      <c r="B49">
        <f t="shared" si="1"/>
        <v>0.25333333333333335</v>
      </c>
      <c r="C49">
        <f t="shared" si="9"/>
        <v>7.3158850666666675</v>
      </c>
      <c r="D49">
        <f t="shared" si="2"/>
        <v>0.95553587731851852</v>
      </c>
      <c r="E49">
        <f t="shared" si="3"/>
        <v>3.5649175595242375</v>
      </c>
      <c r="F49">
        <f t="shared" si="4"/>
        <v>1.8219828657481481</v>
      </c>
      <c r="G49">
        <f t="shared" si="5"/>
        <v>2.4420000000000002</v>
      </c>
      <c r="H49">
        <f t="shared" si="6"/>
        <v>0.31895233333333334</v>
      </c>
      <c r="I49">
        <f t="shared" si="7"/>
        <v>19.23902</v>
      </c>
    </row>
    <row r="50" spans="1:9" x14ac:dyDescent="0.3">
      <c r="A50">
        <f t="shared" si="8"/>
        <v>35</v>
      </c>
      <c r="B50">
        <f t="shared" si="1"/>
        <v>0.24666666666666665</v>
      </c>
      <c r="C50">
        <f t="shared" si="9"/>
        <v>7.2023589999999995</v>
      </c>
      <c r="D50">
        <f t="shared" si="2"/>
        <v>0.94070811161111101</v>
      </c>
      <c r="E50">
        <f t="shared" si="3"/>
        <v>3.5114802987570299</v>
      </c>
      <c r="F50">
        <f t="shared" si="4"/>
        <v>1.7946717787777775</v>
      </c>
      <c r="G50">
        <f t="shared" si="5"/>
        <v>2.4550000000000001</v>
      </c>
      <c r="H50">
        <f t="shared" si="6"/>
        <v>0.32065027777777777</v>
      </c>
      <c r="I50">
        <f t="shared" si="7"/>
        <v>19.24605</v>
      </c>
    </row>
    <row r="51" spans="1:9" x14ac:dyDescent="0.3">
      <c r="A51">
        <f t="shared" si="8"/>
        <v>36</v>
      </c>
      <c r="B51">
        <f t="shared" si="1"/>
        <v>0.24</v>
      </c>
      <c r="C51">
        <f t="shared" si="9"/>
        <v>7.0887392</v>
      </c>
      <c r="D51">
        <f t="shared" si="2"/>
        <v>0.9258681032888888</v>
      </c>
      <c r="E51">
        <f t="shared" si="3"/>
        <v>3.4579951298416747</v>
      </c>
      <c r="F51">
        <f t="shared" si="4"/>
        <v>1.7673362065777776</v>
      </c>
      <c r="G51">
        <f t="shared" si="5"/>
        <v>2.468</v>
      </c>
      <c r="H51">
        <f t="shared" si="6"/>
        <v>0.3223482222222222</v>
      </c>
      <c r="I51">
        <f t="shared" si="7"/>
        <v>19.253080000000001</v>
      </c>
    </row>
    <row r="52" spans="1:9" x14ac:dyDescent="0.3">
      <c r="A52">
        <f t="shared" si="8"/>
        <v>37</v>
      </c>
      <c r="B52">
        <f t="shared" si="1"/>
        <v>0.23333333333333334</v>
      </c>
      <c r="C52">
        <f t="shared" si="9"/>
        <v>6.9750256666666672</v>
      </c>
      <c r="D52">
        <f t="shared" si="2"/>
        <v>0.91101585235185178</v>
      </c>
      <c r="E52">
        <f t="shared" si="3"/>
        <v>3.4044620527781717</v>
      </c>
      <c r="F52">
        <f t="shared" si="4"/>
        <v>1.7399761491481482</v>
      </c>
      <c r="G52">
        <f t="shared" si="5"/>
        <v>2.4809999999999999</v>
      </c>
      <c r="H52">
        <f t="shared" si="6"/>
        <v>0.32404616666666664</v>
      </c>
      <c r="I52">
        <f t="shared" si="7"/>
        <v>19.260110000000001</v>
      </c>
    </row>
    <row r="53" spans="1:9" x14ac:dyDescent="0.3">
      <c r="A53">
        <f t="shared" si="8"/>
        <v>38</v>
      </c>
      <c r="B53">
        <f t="shared" si="1"/>
        <v>0.22666666666666666</v>
      </c>
      <c r="C53">
        <f t="shared" si="9"/>
        <v>6.8612183999999994</v>
      </c>
      <c r="D53">
        <f t="shared" si="2"/>
        <v>0.89615135879999996</v>
      </c>
      <c r="E53">
        <f t="shared" si="3"/>
        <v>3.3508810675665206</v>
      </c>
      <c r="F53">
        <f t="shared" si="4"/>
        <v>1.7125916064888889</v>
      </c>
      <c r="G53">
        <f t="shared" si="5"/>
        <v>2.4939999999999998</v>
      </c>
      <c r="H53">
        <f t="shared" si="6"/>
        <v>0.32574411111111107</v>
      </c>
      <c r="I53">
        <f t="shared" si="7"/>
        <v>19.267139999999998</v>
      </c>
    </row>
    <row r="54" spans="1:9" x14ac:dyDescent="0.3">
      <c r="A54">
        <f t="shared" si="8"/>
        <v>39</v>
      </c>
      <c r="B54">
        <f t="shared" si="1"/>
        <v>0.22</v>
      </c>
      <c r="C54">
        <f t="shared" si="9"/>
        <v>6.7473174</v>
      </c>
      <c r="D54">
        <f t="shared" si="2"/>
        <v>0.88127462263333334</v>
      </c>
      <c r="E54">
        <f t="shared" si="3"/>
        <v>3.2972521742067209</v>
      </c>
      <c r="F54">
        <f t="shared" si="4"/>
        <v>1.6851825786000001</v>
      </c>
      <c r="G54">
        <f t="shared" si="5"/>
        <v>2.5070000000000001</v>
      </c>
      <c r="H54">
        <f t="shared" si="6"/>
        <v>0.32744205555555556</v>
      </c>
      <c r="I54">
        <f t="shared" si="7"/>
        <v>19.274169999999998</v>
      </c>
    </row>
    <row r="55" spans="1:9" x14ac:dyDescent="0.3">
      <c r="A55">
        <f t="shared" si="8"/>
        <v>40</v>
      </c>
      <c r="B55">
        <f t="shared" si="1"/>
        <v>0.21333333333333332</v>
      </c>
      <c r="C55">
        <f t="shared" si="9"/>
        <v>6.6333226666666665</v>
      </c>
      <c r="D55">
        <f t="shared" si="2"/>
        <v>0.86638564385185179</v>
      </c>
      <c r="E55">
        <f t="shared" si="3"/>
        <v>3.2435753726987726</v>
      </c>
      <c r="F55">
        <f t="shared" si="4"/>
        <v>1.6577490654814813</v>
      </c>
      <c r="G55">
        <f t="shared" si="5"/>
        <v>2.52</v>
      </c>
      <c r="H55">
        <f t="shared" si="6"/>
        <v>0.32913999999999999</v>
      </c>
      <c r="I55">
        <f t="shared" si="7"/>
        <v>19.281199999999998</v>
      </c>
    </row>
    <row r="56" spans="1:9" x14ac:dyDescent="0.3">
      <c r="A56">
        <f t="shared" si="8"/>
        <v>41</v>
      </c>
      <c r="B56">
        <f t="shared" si="1"/>
        <v>0.20666666666666667</v>
      </c>
      <c r="C56">
        <f t="shared" si="9"/>
        <v>6.5192341999999996</v>
      </c>
      <c r="D56">
        <f t="shared" si="2"/>
        <v>0.85148442245555545</v>
      </c>
      <c r="E56">
        <f t="shared" si="3"/>
        <v>3.1898506630426771</v>
      </c>
      <c r="F56">
        <f t="shared" si="4"/>
        <v>1.630291067133333</v>
      </c>
      <c r="G56">
        <f t="shared" si="5"/>
        <v>2.5329999999999999</v>
      </c>
      <c r="H56">
        <f t="shared" si="6"/>
        <v>0.33083794444444442</v>
      </c>
      <c r="I56">
        <f t="shared" si="7"/>
        <v>19.288229999999999</v>
      </c>
    </row>
    <row r="57" spans="1:9" x14ac:dyDescent="0.3">
      <c r="A57">
        <f t="shared" si="8"/>
        <v>42</v>
      </c>
      <c r="B57">
        <f t="shared" si="1"/>
        <v>0.19999999999999998</v>
      </c>
      <c r="C57">
        <f t="shared" si="9"/>
        <v>6.4050519999999995</v>
      </c>
      <c r="D57">
        <f t="shared" si="2"/>
        <v>0.8365709584444444</v>
      </c>
      <c r="E57">
        <f t="shared" si="3"/>
        <v>3.1360780452384329</v>
      </c>
      <c r="F57">
        <f t="shared" si="4"/>
        <v>1.6028085835555554</v>
      </c>
      <c r="G57">
        <f t="shared" si="5"/>
        <v>2.5459999999999998</v>
      </c>
      <c r="H57">
        <f t="shared" si="6"/>
        <v>0.33253588888888885</v>
      </c>
      <c r="I57">
        <f t="shared" si="7"/>
        <v>19.295260000000003</v>
      </c>
    </row>
    <row r="58" spans="1:9" x14ac:dyDescent="0.3">
      <c r="A58">
        <f t="shared" si="8"/>
        <v>43</v>
      </c>
      <c r="B58">
        <f t="shared" si="1"/>
        <v>0.19333333333333333</v>
      </c>
      <c r="C58">
        <f t="shared" si="9"/>
        <v>6.2907760666666679</v>
      </c>
      <c r="D58">
        <f t="shared" si="2"/>
        <v>0.82164525181851855</v>
      </c>
      <c r="E58">
        <f t="shared" si="3"/>
        <v>3.0822575192860406</v>
      </c>
      <c r="F58">
        <f t="shared" si="4"/>
        <v>1.575301614748148</v>
      </c>
      <c r="G58">
        <f t="shared" si="5"/>
        <v>2.5590000000000002</v>
      </c>
      <c r="H58">
        <f t="shared" si="6"/>
        <v>0.33423383333333334</v>
      </c>
      <c r="I58">
        <f t="shared" si="7"/>
        <v>19.302290000000003</v>
      </c>
    </row>
    <row r="59" spans="1:9" x14ac:dyDescent="0.3">
      <c r="A59">
        <f t="shared" si="8"/>
        <v>44</v>
      </c>
      <c r="B59">
        <f t="shared" si="1"/>
        <v>0.18666666666666665</v>
      </c>
      <c r="C59">
        <f t="shared" si="9"/>
        <v>6.1764063999999994</v>
      </c>
      <c r="D59">
        <f t="shared" si="2"/>
        <v>0.80670730257777756</v>
      </c>
      <c r="E59">
        <f t="shared" si="3"/>
        <v>3.0283890851855002</v>
      </c>
      <c r="F59">
        <f t="shared" si="4"/>
        <v>1.547770160711111</v>
      </c>
      <c r="G59">
        <f t="shared" si="5"/>
        <v>2.5720000000000001</v>
      </c>
      <c r="H59">
        <f t="shared" si="6"/>
        <v>0.33593177777777777</v>
      </c>
      <c r="I59">
        <f t="shared" si="7"/>
        <v>19.30932</v>
      </c>
    </row>
    <row r="60" spans="1:9" x14ac:dyDescent="0.3">
      <c r="A60">
        <f t="shared" si="8"/>
        <v>45</v>
      </c>
      <c r="B60">
        <f t="shared" si="1"/>
        <v>0.18</v>
      </c>
      <c r="C60">
        <f t="shared" si="9"/>
        <v>6.0619429999999994</v>
      </c>
      <c r="D60">
        <f t="shared" si="2"/>
        <v>0.79175711072222199</v>
      </c>
      <c r="E60">
        <f t="shared" si="3"/>
        <v>2.9744727429368112</v>
      </c>
      <c r="F60">
        <f t="shared" si="4"/>
        <v>1.5202142214444441</v>
      </c>
      <c r="G60">
        <f t="shared" si="5"/>
        <v>2.585</v>
      </c>
      <c r="H60">
        <f t="shared" si="6"/>
        <v>0.33762972222222221</v>
      </c>
      <c r="I60">
        <f t="shared" si="7"/>
        <v>19.31635</v>
      </c>
    </row>
    <row r="61" spans="1:9" x14ac:dyDescent="0.3">
      <c r="A61">
        <f t="shared" si="8"/>
        <v>46</v>
      </c>
      <c r="B61">
        <f t="shared" si="1"/>
        <v>0.17333333333333334</v>
      </c>
      <c r="C61">
        <f t="shared" si="9"/>
        <v>5.9473858666666661</v>
      </c>
      <c r="D61">
        <f t="shared" si="2"/>
        <v>0.77679467625185172</v>
      </c>
      <c r="E61">
        <f t="shared" si="3"/>
        <v>2.9205084925399749</v>
      </c>
      <c r="F61">
        <f t="shared" si="4"/>
        <v>1.492633796948148</v>
      </c>
      <c r="G61">
        <f t="shared" si="5"/>
        <v>2.5979999999999999</v>
      </c>
      <c r="H61">
        <f t="shared" si="6"/>
        <v>0.33932766666666664</v>
      </c>
      <c r="I61">
        <f t="shared" si="7"/>
        <v>19.32338</v>
      </c>
    </row>
    <row r="62" spans="1:9" x14ac:dyDescent="0.3">
      <c r="A62">
        <f t="shared" si="8"/>
        <v>47</v>
      </c>
      <c r="B62">
        <f t="shared" si="1"/>
        <v>0.16666666666666666</v>
      </c>
      <c r="C62">
        <f t="shared" si="9"/>
        <v>5.8327349999999996</v>
      </c>
      <c r="D62">
        <f t="shared" si="2"/>
        <v>0.76181999916666665</v>
      </c>
      <c r="E62">
        <f t="shared" si="3"/>
        <v>2.86649633399499</v>
      </c>
      <c r="F62">
        <f t="shared" si="4"/>
        <v>1.4650288872222221</v>
      </c>
      <c r="G62">
        <f t="shared" si="5"/>
        <v>2.6109999999999998</v>
      </c>
      <c r="H62">
        <f t="shared" si="6"/>
        <v>0.34102561111111107</v>
      </c>
      <c r="I62">
        <f t="shared" si="7"/>
        <v>19.330410000000001</v>
      </c>
    </row>
    <row r="63" spans="1:9" x14ac:dyDescent="0.3">
      <c r="A63">
        <f t="shared" si="8"/>
        <v>48</v>
      </c>
      <c r="B63">
        <f t="shared" si="1"/>
        <v>0.16</v>
      </c>
      <c r="C63">
        <f t="shared" si="9"/>
        <v>5.7179903999999997</v>
      </c>
      <c r="D63">
        <f t="shared" si="2"/>
        <v>0.74683307946666655</v>
      </c>
      <c r="E63">
        <f t="shared" si="3"/>
        <v>2.812436267301857</v>
      </c>
      <c r="F63">
        <f t="shared" si="4"/>
        <v>1.4373994922666664</v>
      </c>
      <c r="G63">
        <f t="shared" si="5"/>
        <v>2.6240000000000001</v>
      </c>
      <c r="H63">
        <f t="shared" si="6"/>
        <v>0.34272355555555556</v>
      </c>
      <c r="I63">
        <f t="shared" si="7"/>
        <v>19.337440000000001</v>
      </c>
    </row>
    <row r="64" spans="1:9" x14ac:dyDescent="0.3">
      <c r="A64">
        <f t="shared" si="8"/>
        <v>49</v>
      </c>
      <c r="B64">
        <f t="shared" si="1"/>
        <v>0.15333333333333332</v>
      </c>
      <c r="C64">
        <f t="shared" si="9"/>
        <v>5.6031520666666665</v>
      </c>
      <c r="D64">
        <f t="shared" si="2"/>
        <v>0.73183391715185175</v>
      </c>
      <c r="E64">
        <f t="shared" si="3"/>
        <v>2.7583282924605763</v>
      </c>
      <c r="F64">
        <f t="shared" si="4"/>
        <v>1.4097456120814813</v>
      </c>
      <c r="G64">
        <f t="shared" si="5"/>
        <v>2.637</v>
      </c>
      <c r="H64">
        <f t="shared" si="6"/>
        <v>0.34442149999999999</v>
      </c>
      <c r="I64">
        <f t="shared" si="7"/>
        <v>19.344470000000001</v>
      </c>
    </row>
    <row r="65" spans="1:9" x14ac:dyDescent="0.3">
      <c r="A65">
        <f t="shared" si="8"/>
        <v>50</v>
      </c>
      <c r="B65">
        <f t="shared" si="1"/>
        <v>0.14666666666666667</v>
      </c>
      <c r="C65">
        <f t="shared" si="9"/>
        <v>5.4882200000000001</v>
      </c>
      <c r="D65">
        <f t="shared" si="2"/>
        <v>0.71682251222222215</v>
      </c>
      <c r="E65">
        <f t="shared" si="3"/>
        <v>2.704172409471147</v>
      </c>
      <c r="F65">
        <f t="shared" si="4"/>
        <v>1.3820672466666666</v>
      </c>
      <c r="G65">
        <f t="shared" si="5"/>
        <v>2.65</v>
      </c>
      <c r="H65">
        <f t="shared" si="6"/>
        <v>0.34611944444444442</v>
      </c>
      <c r="I65">
        <f t="shared" si="7"/>
        <v>19.351499999999998</v>
      </c>
    </row>
    <row r="66" spans="1:9" x14ac:dyDescent="0.3">
      <c r="A66">
        <f t="shared" si="8"/>
        <v>51</v>
      </c>
      <c r="B66">
        <f t="shared" si="1"/>
        <v>0.13999999999999999</v>
      </c>
      <c r="C66">
        <f t="shared" si="9"/>
        <v>5.3731941999999995</v>
      </c>
      <c r="D66">
        <f t="shared" si="2"/>
        <v>0.70179886467777763</v>
      </c>
      <c r="E66">
        <f t="shared" si="3"/>
        <v>2.6499686183335691</v>
      </c>
      <c r="F66">
        <f t="shared" si="4"/>
        <v>1.3543643960222218</v>
      </c>
      <c r="G66">
        <f t="shared" si="5"/>
        <v>2.6629999999999998</v>
      </c>
      <c r="H66">
        <f t="shared" si="6"/>
        <v>0.34781738888888886</v>
      </c>
      <c r="I66">
        <f t="shared" si="7"/>
        <v>19.358529999999998</v>
      </c>
    </row>
    <row r="67" spans="1:9" x14ac:dyDescent="0.3">
      <c r="A67">
        <f t="shared" si="8"/>
        <v>52</v>
      </c>
      <c r="B67">
        <f t="shared" si="1"/>
        <v>0.13333333333333333</v>
      </c>
      <c r="C67">
        <f t="shared" si="9"/>
        <v>5.2580746666666665</v>
      </c>
      <c r="D67">
        <f t="shared" si="2"/>
        <v>0.68676297451851842</v>
      </c>
      <c r="E67">
        <f t="shared" si="3"/>
        <v>2.5957169190478444</v>
      </c>
      <c r="F67">
        <f t="shared" si="4"/>
        <v>1.3266370601481481</v>
      </c>
      <c r="G67">
        <f t="shared" si="5"/>
        <v>2.6760000000000002</v>
      </c>
      <c r="H67">
        <f t="shared" si="6"/>
        <v>0.34951533333333329</v>
      </c>
      <c r="I67">
        <f t="shared" si="7"/>
        <v>19.365559999999999</v>
      </c>
    </row>
    <row r="68" spans="1:9" x14ac:dyDescent="0.3">
      <c r="A68">
        <f t="shared" si="8"/>
        <v>53</v>
      </c>
      <c r="B68">
        <f t="shared" si="1"/>
        <v>0.12666666666666665</v>
      </c>
      <c r="C68">
        <f t="shared" si="9"/>
        <v>5.1428613999999993</v>
      </c>
      <c r="D68">
        <f t="shared" si="2"/>
        <v>0.67171484174444429</v>
      </c>
      <c r="E68">
        <f t="shared" si="3"/>
        <v>2.5414173116139693</v>
      </c>
      <c r="F68">
        <f t="shared" si="4"/>
        <v>1.2988852390444439</v>
      </c>
      <c r="G68">
        <f t="shared" si="5"/>
        <v>2.6890000000000001</v>
      </c>
      <c r="H68">
        <f t="shared" si="6"/>
        <v>0.35121327777777772</v>
      </c>
      <c r="I68">
        <f t="shared" si="7"/>
        <v>19.372589999999999</v>
      </c>
    </row>
    <row r="69" spans="1:9" x14ac:dyDescent="0.3">
      <c r="A69">
        <f t="shared" si="8"/>
        <v>54</v>
      </c>
      <c r="B69">
        <f t="shared" si="1"/>
        <v>0.12</v>
      </c>
      <c r="C69">
        <f t="shared" si="9"/>
        <v>5.0275543999999996</v>
      </c>
      <c r="D69">
        <f t="shared" si="2"/>
        <v>0.65665446635555547</v>
      </c>
      <c r="E69">
        <f t="shared" si="3"/>
        <v>2.4870697960319483</v>
      </c>
      <c r="F69">
        <f t="shared" si="4"/>
        <v>1.2711089327111109</v>
      </c>
      <c r="G69">
        <f t="shared" si="5"/>
        <v>2.702</v>
      </c>
      <c r="H69">
        <f t="shared" si="6"/>
        <v>0.35291122222222215</v>
      </c>
      <c r="I69">
        <f t="shared" si="7"/>
        <v>19.379620000000003</v>
      </c>
    </row>
    <row r="70" spans="1:9" x14ac:dyDescent="0.3">
      <c r="A70">
        <f t="shared" si="8"/>
        <v>55</v>
      </c>
      <c r="B70">
        <f t="shared" si="1"/>
        <v>0.11333333333333336</v>
      </c>
      <c r="C70">
        <f t="shared" si="9"/>
        <v>4.9121536666666668</v>
      </c>
      <c r="D70">
        <f t="shared" si="2"/>
        <v>0.64158184835185172</v>
      </c>
      <c r="E70">
        <f t="shared" si="3"/>
        <v>2.4326743723017783</v>
      </c>
      <c r="F70">
        <f t="shared" si="4"/>
        <v>1.2433081411481479</v>
      </c>
      <c r="G70">
        <f t="shared" si="5"/>
        <v>2.7149999999999999</v>
      </c>
      <c r="H70">
        <f t="shared" si="6"/>
        <v>0.35460916666666659</v>
      </c>
      <c r="I70">
        <f t="shared" si="7"/>
        <v>19.386650000000003</v>
      </c>
    </row>
    <row r="71" spans="1:9" x14ac:dyDescent="0.3">
      <c r="A71">
        <f t="shared" si="8"/>
        <v>56</v>
      </c>
      <c r="B71">
        <f t="shared" si="1"/>
        <v>0.10666666666666666</v>
      </c>
      <c r="C71">
        <f t="shared" si="9"/>
        <v>4.7966591999999997</v>
      </c>
      <c r="D71">
        <f t="shared" si="2"/>
        <v>0.62649698773333318</v>
      </c>
      <c r="E71">
        <f t="shared" si="3"/>
        <v>2.3782310404234597</v>
      </c>
      <c r="F71">
        <f t="shared" si="4"/>
        <v>1.2154828643555551</v>
      </c>
      <c r="G71">
        <f t="shared" si="5"/>
        <v>2.7279999999999998</v>
      </c>
      <c r="H71">
        <f t="shared" si="6"/>
        <v>0.35630711111111102</v>
      </c>
      <c r="I71">
        <f t="shared" si="7"/>
        <v>19.39368</v>
      </c>
    </row>
    <row r="72" spans="1:9" x14ac:dyDescent="0.3">
      <c r="A72">
        <f t="shared" si="8"/>
        <v>57</v>
      </c>
      <c r="B72">
        <f t="shared" si="1"/>
        <v>0.10000000000000002</v>
      </c>
      <c r="C72">
        <f t="shared" si="9"/>
        <v>4.6810710000000002</v>
      </c>
      <c r="D72">
        <f t="shared" si="2"/>
        <v>0.61139988449999993</v>
      </c>
      <c r="E72">
        <f t="shared" si="3"/>
        <v>2.3237398003969938</v>
      </c>
      <c r="F72">
        <f t="shared" si="4"/>
        <v>1.1876331023333331</v>
      </c>
      <c r="G72">
        <f t="shared" si="5"/>
        <v>2.7410000000000001</v>
      </c>
      <c r="H72">
        <f t="shared" si="6"/>
        <v>0.35800505555555551</v>
      </c>
      <c r="I72">
        <f t="shared" si="7"/>
        <v>19.40071</v>
      </c>
    </row>
    <row r="73" spans="1:9" x14ac:dyDescent="0.3">
      <c r="A73">
        <f t="shared" si="8"/>
        <v>58</v>
      </c>
      <c r="B73">
        <f t="shared" si="1"/>
        <v>9.3333333333333324E-2</v>
      </c>
      <c r="C73">
        <f t="shared" si="9"/>
        <v>4.5653890666666666</v>
      </c>
      <c r="D73">
        <f t="shared" si="2"/>
        <v>0.59629053865185178</v>
      </c>
      <c r="E73">
        <f t="shared" si="3"/>
        <v>2.2692006522223798</v>
      </c>
      <c r="F73">
        <f t="shared" si="4"/>
        <v>1.1597588550814815</v>
      </c>
      <c r="G73">
        <f t="shared" si="5"/>
        <v>2.754</v>
      </c>
      <c r="H73">
        <f t="shared" si="6"/>
        <v>0.35970299999999994</v>
      </c>
      <c r="I73">
        <f t="shared" si="7"/>
        <v>19.40774</v>
      </c>
    </row>
    <row r="74" spans="1:9" x14ac:dyDescent="0.3">
      <c r="A74">
        <f t="shared" si="8"/>
        <v>59</v>
      </c>
      <c r="B74">
        <f t="shared" si="1"/>
        <v>8.666666666666667E-2</v>
      </c>
      <c r="C74">
        <f t="shared" si="9"/>
        <v>4.4496134000000005</v>
      </c>
      <c r="D74">
        <f t="shared" si="2"/>
        <v>0.58116895018888892</v>
      </c>
      <c r="E74">
        <f t="shared" si="3"/>
        <v>2.2146135958996176</v>
      </c>
      <c r="F74">
        <f t="shared" si="4"/>
        <v>1.1318601226000002</v>
      </c>
      <c r="G74">
        <f t="shared" si="5"/>
        <v>2.7669999999999999</v>
      </c>
      <c r="H74">
        <f t="shared" si="6"/>
        <v>0.36140094444444437</v>
      </c>
      <c r="I74">
        <f t="shared" si="7"/>
        <v>19.414770000000001</v>
      </c>
    </row>
    <row r="75" spans="1:9" x14ac:dyDescent="0.3">
      <c r="A75">
        <f t="shared" si="8"/>
        <v>60</v>
      </c>
      <c r="B75">
        <f t="shared" si="1"/>
        <v>7.9999999999999974E-2</v>
      </c>
      <c r="C75">
        <f t="shared" si="9"/>
        <v>4.3337439999999994</v>
      </c>
      <c r="D75">
        <f t="shared" si="2"/>
        <v>0.56603511911111104</v>
      </c>
      <c r="E75">
        <f t="shared" si="3"/>
        <v>2.1599786314287064</v>
      </c>
      <c r="F75">
        <f t="shared" si="4"/>
        <v>1.1039369048888887</v>
      </c>
      <c r="G75">
        <f t="shared" si="5"/>
        <v>2.78</v>
      </c>
      <c r="H75">
        <f t="shared" si="6"/>
        <v>0.3630988888888888</v>
      </c>
      <c r="I75">
        <f t="shared" si="7"/>
        <v>19.421800000000001</v>
      </c>
    </row>
    <row r="76" spans="1:9" x14ac:dyDescent="0.3">
      <c r="A76">
        <f t="shared" si="8"/>
        <v>61</v>
      </c>
      <c r="B76">
        <f t="shared" si="1"/>
        <v>7.3333333333333334E-2</v>
      </c>
      <c r="C76">
        <f t="shared" si="9"/>
        <v>4.2177808666666667</v>
      </c>
      <c r="D76">
        <f t="shared" si="2"/>
        <v>0.55088904541851846</v>
      </c>
      <c r="E76">
        <f t="shared" si="3"/>
        <v>2.1052957588096475</v>
      </c>
      <c r="F76">
        <f t="shared" si="4"/>
        <v>1.0759892019481481</v>
      </c>
      <c r="G76">
        <f t="shared" si="5"/>
        <v>2.7930000000000001</v>
      </c>
      <c r="H76">
        <f t="shared" si="6"/>
        <v>0.36479683333333335</v>
      </c>
      <c r="I76">
        <f t="shared" si="7"/>
        <v>19.428829999999998</v>
      </c>
    </row>
    <row r="77" spans="1:9" x14ac:dyDescent="0.3">
      <c r="A77">
        <f t="shared" si="8"/>
        <v>62</v>
      </c>
      <c r="B77">
        <f t="shared" si="1"/>
        <v>6.6666666666666638E-2</v>
      </c>
      <c r="C77">
        <f t="shared" si="9"/>
        <v>4.101723999999999</v>
      </c>
      <c r="D77">
        <f t="shared" si="2"/>
        <v>0.53573072911111097</v>
      </c>
      <c r="E77">
        <f t="shared" si="3"/>
        <v>2.0505649780424404</v>
      </c>
      <c r="F77">
        <f t="shared" si="4"/>
        <v>1.0480170137777776</v>
      </c>
      <c r="G77">
        <f t="shared" si="5"/>
        <v>2.806</v>
      </c>
      <c r="H77">
        <f t="shared" si="6"/>
        <v>0.36649477777777778</v>
      </c>
      <c r="I77">
        <f t="shared" si="7"/>
        <v>19.435859999999998</v>
      </c>
    </row>
    <row r="78" spans="1:9" x14ac:dyDescent="0.3">
      <c r="A78">
        <f t="shared" si="8"/>
        <v>63</v>
      </c>
      <c r="B78">
        <f t="shared" si="1"/>
        <v>0.06</v>
      </c>
      <c r="C78">
        <f t="shared" si="9"/>
        <v>3.9855733999999998</v>
      </c>
      <c r="D78">
        <f t="shared" si="2"/>
        <v>0.52056017018888889</v>
      </c>
      <c r="E78">
        <f t="shared" si="3"/>
        <v>1.9957862891270857</v>
      </c>
      <c r="F78">
        <f t="shared" si="4"/>
        <v>1.0200203403777779</v>
      </c>
      <c r="G78">
        <f t="shared" si="5"/>
        <v>2.819</v>
      </c>
      <c r="H78">
        <f t="shared" si="6"/>
        <v>0.36819272222222221</v>
      </c>
      <c r="I78">
        <f t="shared" si="7"/>
        <v>19.442889999999998</v>
      </c>
    </row>
    <row r="79" spans="1:9" x14ac:dyDescent="0.3">
      <c r="A79">
        <f t="shared" si="8"/>
        <v>64</v>
      </c>
      <c r="B79">
        <f t="shared" si="1"/>
        <v>5.3333333333333358E-2</v>
      </c>
      <c r="C79">
        <f t="shared" ref="C79:C110" si="10">B79*I79+G79</f>
        <v>3.8693290666666669</v>
      </c>
      <c r="D79">
        <f t="shared" si="2"/>
        <v>0.50537736865185179</v>
      </c>
      <c r="E79">
        <f t="shared" si="3"/>
        <v>1.9409596920635819</v>
      </c>
      <c r="F79">
        <f t="shared" si="4"/>
        <v>0.99199918174814794</v>
      </c>
      <c r="G79">
        <f t="shared" si="5"/>
        <v>2.8319999999999999</v>
      </c>
      <c r="H79">
        <f t="shared" si="6"/>
        <v>0.36989066666666659</v>
      </c>
      <c r="I79">
        <f t="shared" si="7"/>
        <v>19.449919999999999</v>
      </c>
    </row>
    <row r="80" spans="1:9" x14ac:dyDescent="0.3">
      <c r="A80">
        <f t="shared" si="8"/>
        <v>65</v>
      </c>
      <c r="B80">
        <f t="shared" ref="B80:B129" si="11">(1-A80/B$10)*B$9</f>
        <v>4.6666666666666662E-2</v>
      </c>
      <c r="C80">
        <f t="shared" si="10"/>
        <v>3.7529909999999997</v>
      </c>
      <c r="D80">
        <f t="shared" ref="D80:D143" si="12">C80/$D$7*$B$7</f>
        <v>0.49018232449999993</v>
      </c>
      <c r="E80">
        <f t="shared" ref="E80:E143" si="13">$C$7*F80/$B$7</f>
        <v>1.8860851868519304</v>
      </c>
      <c r="F80">
        <f t="shared" ref="F80:F129" si="14">(B80*$B$8-D80*$D$8)/-$C$8</f>
        <v>0.96395353788888871</v>
      </c>
      <c r="G80">
        <f t="shared" ref="G80:G129" si="15">$D$3*(1+$D$4*A80)</f>
        <v>2.8449999999999998</v>
      </c>
      <c r="H80">
        <f t="shared" ref="H80:H143" si="16">G80/$D$7*$B$7</f>
        <v>0.37158861111111108</v>
      </c>
      <c r="I80">
        <f t="shared" ref="I80:I129" si="17">$D$1*(1+$D$2*A80)</f>
        <v>19.456949999999999</v>
      </c>
    </row>
    <row r="81" spans="1:9" x14ac:dyDescent="0.3">
      <c r="A81">
        <f t="shared" ref="A81:A144" si="18">A80+1</f>
        <v>66</v>
      </c>
      <c r="B81">
        <f t="shared" si="11"/>
        <v>4.0000000000000015E-2</v>
      </c>
      <c r="C81">
        <f t="shared" si="10"/>
        <v>3.6365592000000007</v>
      </c>
      <c r="D81">
        <f t="shared" si="12"/>
        <v>0.47497503773333344</v>
      </c>
      <c r="E81">
        <f t="shared" si="13"/>
        <v>1.8311627734921314</v>
      </c>
      <c r="F81">
        <f t="shared" si="14"/>
        <v>0.9358834088000002</v>
      </c>
      <c r="G81">
        <f t="shared" si="15"/>
        <v>2.8580000000000001</v>
      </c>
      <c r="H81">
        <f t="shared" si="16"/>
        <v>0.37328655555555557</v>
      </c>
      <c r="I81">
        <f t="shared" si="17"/>
        <v>19.463980000000003</v>
      </c>
    </row>
    <row r="82" spans="1:9" x14ac:dyDescent="0.3">
      <c r="A82">
        <f t="shared" si="18"/>
        <v>67</v>
      </c>
      <c r="B82">
        <f t="shared" si="11"/>
        <v>3.3333333333333319E-2</v>
      </c>
      <c r="C82">
        <f t="shared" si="10"/>
        <v>3.5200336666666665</v>
      </c>
      <c r="D82">
        <f t="shared" si="12"/>
        <v>0.45975550835185175</v>
      </c>
      <c r="E82">
        <f t="shared" si="13"/>
        <v>1.7761924519841834</v>
      </c>
      <c r="F82">
        <f t="shared" si="14"/>
        <v>0.90778879448148142</v>
      </c>
      <c r="G82">
        <f t="shared" si="15"/>
        <v>2.871</v>
      </c>
      <c r="H82">
        <f t="shared" si="16"/>
        <v>0.37498449999999994</v>
      </c>
      <c r="I82">
        <f t="shared" si="17"/>
        <v>19.471010000000003</v>
      </c>
    </row>
    <row r="83" spans="1:9" x14ac:dyDescent="0.3">
      <c r="A83">
        <f t="shared" si="18"/>
        <v>68</v>
      </c>
      <c r="B83">
        <f t="shared" si="11"/>
        <v>2.6666666666666679E-2</v>
      </c>
      <c r="C83">
        <f t="shared" si="10"/>
        <v>3.4034144</v>
      </c>
      <c r="D83">
        <f t="shared" si="12"/>
        <v>0.44452373635555548</v>
      </c>
      <c r="E83">
        <f t="shared" si="13"/>
        <v>1.7211742223280873</v>
      </c>
      <c r="F83">
        <f t="shared" si="14"/>
        <v>0.87966969493333325</v>
      </c>
      <c r="G83">
        <f t="shared" si="15"/>
        <v>2.8839999999999999</v>
      </c>
      <c r="H83">
        <f t="shared" si="16"/>
        <v>0.37668244444444443</v>
      </c>
      <c r="I83">
        <f t="shared" si="17"/>
        <v>19.47804</v>
      </c>
    </row>
    <row r="84" spans="1:9" x14ac:dyDescent="0.3">
      <c r="A84">
        <f t="shared" si="18"/>
        <v>69</v>
      </c>
      <c r="B84">
        <f t="shared" si="11"/>
        <v>1.9999999999999983E-2</v>
      </c>
      <c r="C84">
        <f t="shared" si="10"/>
        <v>3.2867013999999997</v>
      </c>
      <c r="D84">
        <f t="shared" si="12"/>
        <v>0.42927972174444434</v>
      </c>
      <c r="E84">
        <f t="shared" si="13"/>
        <v>1.6661080845238427</v>
      </c>
      <c r="F84">
        <f t="shared" si="14"/>
        <v>0.85152611015555524</v>
      </c>
      <c r="G84">
        <f t="shared" si="15"/>
        <v>2.8969999999999998</v>
      </c>
      <c r="H84">
        <f t="shared" si="16"/>
        <v>0.37838038888888881</v>
      </c>
      <c r="I84">
        <f t="shared" si="17"/>
        <v>19.48507</v>
      </c>
    </row>
    <row r="85" spans="1:9" x14ac:dyDescent="0.3">
      <c r="A85">
        <f t="shared" si="18"/>
        <v>70</v>
      </c>
      <c r="B85">
        <f t="shared" si="11"/>
        <v>1.3333333333333339E-2</v>
      </c>
      <c r="C85">
        <f t="shared" si="10"/>
        <v>3.169894666666667</v>
      </c>
      <c r="D85">
        <f t="shared" si="12"/>
        <v>0.41402346451851851</v>
      </c>
      <c r="E85">
        <f t="shared" si="13"/>
        <v>1.6109940385714512</v>
      </c>
      <c r="F85">
        <f t="shared" si="14"/>
        <v>0.82335804014814806</v>
      </c>
      <c r="G85">
        <f t="shared" si="15"/>
        <v>2.91</v>
      </c>
      <c r="H85">
        <f t="shared" si="16"/>
        <v>0.3800783333333333</v>
      </c>
      <c r="I85">
        <f t="shared" si="17"/>
        <v>19.492100000000001</v>
      </c>
    </row>
    <row r="86" spans="1:9" x14ac:dyDescent="0.3">
      <c r="A86">
        <f t="shared" si="18"/>
        <v>71</v>
      </c>
      <c r="B86">
        <f t="shared" si="11"/>
        <v>6.6666666666666428E-3</v>
      </c>
      <c r="C86">
        <f t="shared" si="10"/>
        <v>3.0529941999999997</v>
      </c>
      <c r="D86">
        <f t="shared" si="12"/>
        <v>0.39875496467777771</v>
      </c>
      <c r="E86">
        <f t="shared" si="13"/>
        <v>1.5558320844709108</v>
      </c>
      <c r="F86">
        <f t="shared" si="14"/>
        <v>0.79516548491111105</v>
      </c>
      <c r="G86">
        <f t="shared" si="15"/>
        <v>2.923</v>
      </c>
      <c r="H86">
        <f t="shared" si="16"/>
        <v>0.38177627777777778</v>
      </c>
      <c r="I86">
        <f t="shared" si="17"/>
        <v>19.499130000000001</v>
      </c>
    </row>
    <row r="87" spans="1:9" x14ac:dyDescent="0.3">
      <c r="A87">
        <f t="shared" si="18"/>
        <v>72</v>
      </c>
      <c r="B87">
        <f t="shared" si="11"/>
        <v>0</v>
      </c>
      <c r="C87">
        <f t="shared" si="10"/>
        <v>2.9359999999999999</v>
      </c>
      <c r="D87">
        <f t="shared" si="12"/>
        <v>0.38347422222222216</v>
      </c>
      <c r="E87">
        <f t="shared" si="13"/>
        <v>1.5006222222222223</v>
      </c>
      <c r="F87">
        <f t="shared" si="14"/>
        <v>0.76694844444444443</v>
      </c>
      <c r="G87">
        <f t="shared" si="15"/>
        <v>2.9359999999999999</v>
      </c>
      <c r="H87">
        <f t="shared" si="16"/>
        <v>0.38347422222222216</v>
      </c>
      <c r="I87">
        <f t="shared" si="17"/>
        <v>19.506160000000001</v>
      </c>
    </row>
    <row r="88" spans="1:9" x14ac:dyDescent="0.3">
      <c r="A88">
        <f t="shared" si="18"/>
        <v>73</v>
      </c>
      <c r="B88">
        <f t="shared" si="11"/>
        <v>-6.6666666666666428E-3</v>
      </c>
      <c r="C88">
        <f t="shared" si="10"/>
        <v>2.8189120666666669</v>
      </c>
      <c r="D88">
        <f t="shared" si="12"/>
        <v>0.36818123715185191</v>
      </c>
      <c r="E88">
        <f t="shared" si="13"/>
        <v>1.4453644518253859</v>
      </c>
      <c r="F88">
        <f t="shared" si="14"/>
        <v>0.73870691874814831</v>
      </c>
      <c r="G88">
        <f t="shared" si="15"/>
        <v>2.9489999999999998</v>
      </c>
      <c r="H88">
        <f t="shared" si="16"/>
        <v>0.38517216666666665</v>
      </c>
      <c r="I88">
        <f t="shared" si="17"/>
        <v>19.513189999999998</v>
      </c>
    </row>
    <row r="89" spans="1:9" x14ac:dyDescent="0.3">
      <c r="A89">
        <f t="shared" si="18"/>
        <v>74</v>
      </c>
      <c r="B89">
        <f t="shared" si="11"/>
        <v>-1.3333333333333286E-2</v>
      </c>
      <c r="C89">
        <f t="shared" si="10"/>
        <v>2.7017304000000006</v>
      </c>
      <c r="D89">
        <f t="shared" si="12"/>
        <v>0.3528760094666667</v>
      </c>
      <c r="E89">
        <f t="shared" si="13"/>
        <v>1.3900587732804006</v>
      </c>
      <c r="F89">
        <f t="shared" si="14"/>
        <v>0.71044090782222213</v>
      </c>
      <c r="G89">
        <f t="shared" si="15"/>
        <v>2.9619999999999997</v>
      </c>
      <c r="H89">
        <f t="shared" si="16"/>
        <v>0.38687011111111103</v>
      </c>
      <c r="I89">
        <f t="shared" si="17"/>
        <v>19.520219999999998</v>
      </c>
    </row>
    <row r="90" spans="1:9" x14ac:dyDescent="0.3">
      <c r="A90">
        <f t="shared" si="18"/>
        <v>75</v>
      </c>
      <c r="B90">
        <f t="shared" si="11"/>
        <v>-2.0000000000000035E-2</v>
      </c>
      <c r="C90">
        <f t="shared" si="10"/>
        <v>2.5844549999999993</v>
      </c>
      <c r="D90">
        <f t="shared" si="12"/>
        <v>0.3375585391666665</v>
      </c>
      <c r="E90">
        <f t="shared" si="13"/>
        <v>1.3347051865872677</v>
      </c>
      <c r="F90">
        <f t="shared" si="14"/>
        <v>0.68215041166666646</v>
      </c>
      <c r="G90">
        <f t="shared" si="15"/>
        <v>2.9750000000000001</v>
      </c>
      <c r="H90">
        <f t="shared" si="16"/>
        <v>0.38856805555555551</v>
      </c>
      <c r="I90">
        <f t="shared" si="17"/>
        <v>19.527249999999999</v>
      </c>
    </row>
    <row r="91" spans="1:9" x14ac:dyDescent="0.3">
      <c r="A91">
        <f t="shared" si="18"/>
        <v>76</v>
      </c>
      <c r="B91">
        <f t="shared" si="11"/>
        <v>-2.6666666666666679E-2</v>
      </c>
      <c r="C91">
        <f t="shared" si="10"/>
        <v>2.4670858666666664</v>
      </c>
      <c r="D91">
        <f t="shared" si="12"/>
        <v>0.32222882625185179</v>
      </c>
      <c r="E91">
        <f t="shared" si="13"/>
        <v>1.2793036917459866</v>
      </c>
      <c r="F91">
        <f t="shared" si="14"/>
        <v>0.65383543028148139</v>
      </c>
      <c r="G91">
        <f t="shared" si="15"/>
        <v>2.988</v>
      </c>
      <c r="H91">
        <f t="shared" si="16"/>
        <v>0.39026599999999995</v>
      </c>
      <c r="I91">
        <f t="shared" si="17"/>
        <v>19.534279999999999</v>
      </c>
    </row>
    <row r="92" spans="1:9" x14ac:dyDescent="0.3">
      <c r="A92">
        <f t="shared" si="18"/>
        <v>77</v>
      </c>
      <c r="B92">
        <f t="shared" si="11"/>
        <v>-3.3333333333333319E-2</v>
      </c>
      <c r="C92">
        <f t="shared" si="10"/>
        <v>2.3496230000000002</v>
      </c>
      <c r="D92">
        <f t="shared" si="12"/>
        <v>0.3068868707222222</v>
      </c>
      <c r="E92">
        <f t="shared" si="13"/>
        <v>1.2238542887565573</v>
      </c>
      <c r="F92">
        <f t="shared" si="14"/>
        <v>0.6254959636666666</v>
      </c>
      <c r="G92">
        <f t="shared" si="15"/>
        <v>3.0009999999999999</v>
      </c>
      <c r="H92">
        <f t="shared" si="16"/>
        <v>0.39196394444444438</v>
      </c>
      <c r="I92">
        <f t="shared" si="17"/>
        <v>19.541309999999999</v>
      </c>
    </row>
    <row r="93" spans="1:9" x14ac:dyDescent="0.3">
      <c r="A93">
        <f t="shared" si="18"/>
        <v>78</v>
      </c>
      <c r="B93">
        <f t="shared" si="11"/>
        <v>-3.9999999999999966E-2</v>
      </c>
      <c r="C93">
        <f t="shared" si="10"/>
        <v>2.2320664000000008</v>
      </c>
      <c r="D93">
        <f t="shared" si="12"/>
        <v>0.29153267257777787</v>
      </c>
      <c r="E93">
        <f t="shared" si="13"/>
        <v>1.1683569776189806</v>
      </c>
      <c r="F93">
        <f t="shared" si="14"/>
        <v>0.59713201182222242</v>
      </c>
      <c r="G93">
        <f t="shared" si="15"/>
        <v>3.0140000000000002</v>
      </c>
      <c r="H93">
        <f t="shared" si="16"/>
        <v>0.39366188888888892</v>
      </c>
      <c r="I93">
        <f t="shared" si="17"/>
        <v>19.548340000000003</v>
      </c>
    </row>
    <row r="94" spans="1:9" x14ac:dyDescent="0.3">
      <c r="A94">
        <f t="shared" si="18"/>
        <v>79</v>
      </c>
      <c r="B94">
        <f t="shared" si="11"/>
        <v>-4.666666666666671E-2</v>
      </c>
      <c r="C94">
        <f t="shared" si="10"/>
        <v>2.1144160666666658</v>
      </c>
      <c r="D94">
        <f t="shared" si="12"/>
        <v>0.27616623181851835</v>
      </c>
      <c r="E94">
        <f t="shared" si="13"/>
        <v>1.112811758333254</v>
      </c>
      <c r="F94">
        <f t="shared" si="14"/>
        <v>0.56874357474814785</v>
      </c>
      <c r="G94">
        <f t="shared" si="15"/>
        <v>3.0270000000000001</v>
      </c>
      <c r="H94">
        <f t="shared" si="16"/>
        <v>0.3953598333333333</v>
      </c>
      <c r="I94">
        <f t="shared" si="17"/>
        <v>19.555370000000003</v>
      </c>
    </row>
    <row r="95" spans="1:9" x14ac:dyDescent="0.3">
      <c r="A95">
        <f t="shared" si="18"/>
        <v>80</v>
      </c>
      <c r="B95">
        <f t="shared" si="11"/>
        <v>-5.3333333333333358E-2</v>
      </c>
      <c r="C95">
        <f t="shared" si="10"/>
        <v>1.9966719999999996</v>
      </c>
      <c r="D95">
        <f t="shared" si="12"/>
        <v>0.26078754844444435</v>
      </c>
      <c r="E95">
        <f t="shared" si="13"/>
        <v>1.0572186308993805</v>
      </c>
      <c r="F95">
        <f t="shared" si="14"/>
        <v>0.54033065244444423</v>
      </c>
      <c r="G95">
        <f t="shared" si="15"/>
        <v>3.04</v>
      </c>
      <c r="H95">
        <f t="shared" si="16"/>
        <v>0.39705777777777779</v>
      </c>
      <c r="I95">
        <f t="shared" si="17"/>
        <v>19.5624</v>
      </c>
    </row>
    <row r="96" spans="1:9" x14ac:dyDescent="0.3">
      <c r="A96">
        <f t="shared" si="18"/>
        <v>81</v>
      </c>
      <c r="B96">
        <f t="shared" si="11"/>
        <v>-0.06</v>
      </c>
      <c r="C96">
        <f t="shared" si="10"/>
        <v>1.8788342</v>
      </c>
      <c r="D96">
        <f t="shared" si="12"/>
        <v>0.24539662245555552</v>
      </c>
      <c r="E96">
        <f t="shared" si="13"/>
        <v>1.0015775953173589</v>
      </c>
      <c r="F96">
        <f t="shared" si="14"/>
        <v>0.51189324491111099</v>
      </c>
      <c r="G96">
        <f t="shared" si="15"/>
        <v>3.0529999999999999</v>
      </c>
      <c r="H96">
        <f t="shared" si="16"/>
        <v>0.39875572222222216</v>
      </c>
      <c r="I96">
        <f t="shared" si="17"/>
        <v>19.569430000000001</v>
      </c>
    </row>
    <row r="97" spans="1:9" x14ac:dyDescent="0.3">
      <c r="A97">
        <f t="shared" si="18"/>
        <v>82</v>
      </c>
      <c r="B97">
        <f t="shared" si="11"/>
        <v>-6.6666666666666638E-2</v>
      </c>
      <c r="C97">
        <f t="shared" si="10"/>
        <v>1.7609026666666669</v>
      </c>
      <c r="D97">
        <f t="shared" si="12"/>
        <v>0.22999345385185188</v>
      </c>
      <c r="E97">
        <f t="shared" si="13"/>
        <v>0.94588865158718927</v>
      </c>
      <c r="F97">
        <f t="shared" si="14"/>
        <v>0.4834313521481482</v>
      </c>
      <c r="G97">
        <f t="shared" si="15"/>
        <v>3.0659999999999998</v>
      </c>
      <c r="H97">
        <f t="shared" si="16"/>
        <v>0.4004536666666666</v>
      </c>
      <c r="I97">
        <f t="shared" si="17"/>
        <v>19.576460000000001</v>
      </c>
    </row>
    <row r="98" spans="1:9" x14ac:dyDescent="0.3">
      <c r="A98">
        <f t="shared" si="18"/>
        <v>83</v>
      </c>
      <c r="B98">
        <f t="shared" si="11"/>
        <v>-7.3333333333333278E-2</v>
      </c>
      <c r="C98">
        <f t="shared" si="10"/>
        <v>1.6428774000000008</v>
      </c>
      <c r="D98">
        <f t="shared" si="12"/>
        <v>0.21457804263333341</v>
      </c>
      <c r="E98">
        <f t="shared" si="13"/>
        <v>0.89015179970887115</v>
      </c>
      <c r="F98">
        <f t="shared" si="14"/>
        <v>0.45494497415555563</v>
      </c>
      <c r="G98">
        <f t="shared" si="15"/>
        <v>3.0789999999999997</v>
      </c>
      <c r="H98">
        <f t="shared" si="16"/>
        <v>0.40215161111111103</v>
      </c>
      <c r="I98">
        <f t="shared" si="17"/>
        <v>19.583490000000001</v>
      </c>
    </row>
    <row r="99" spans="1:9" x14ac:dyDescent="0.3">
      <c r="A99">
        <f t="shared" si="18"/>
        <v>84</v>
      </c>
      <c r="B99">
        <f t="shared" si="11"/>
        <v>-8.0000000000000029E-2</v>
      </c>
      <c r="C99">
        <f t="shared" si="10"/>
        <v>1.524758399999999</v>
      </c>
      <c r="D99">
        <f t="shared" si="12"/>
        <v>0.19915038879999986</v>
      </c>
      <c r="E99">
        <f t="shared" si="13"/>
        <v>0.834367039682404</v>
      </c>
      <c r="F99">
        <f t="shared" si="14"/>
        <v>0.426434110933333</v>
      </c>
      <c r="G99">
        <f t="shared" si="15"/>
        <v>3.0919999999999996</v>
      </c>
      <c r="H99">
        <f t="shared" si="16"/>
        <v>0.40384955555555546</v>
      </c>
      <c r="I99">
        <f t="shared" si="17"/>
        <v>19.590520000000001</v>
      </c>
    </row>
    <row r="100" spans="1:9" x14ac:dyDescent="0.3">
      <c r="A100">
        <f t="shared" si="18"/>
        <v>85</v>
      </c>
      <c r="B100">
        <f t="shared" si="11"/>
        <v>-8.666666666666667E-2</v>
      </c>
      <c r="C100">
        <f t="shared" si="10"/>
        <v>1.4065456666666667</v>
      </c>
      <c r="D100">
        <f t="shared" si="12"/>
        <v>0.18371049235185183</v>
      </c>
      <c r="E100">
        <f t="shared" si="13"/>
        <v>0.77853437150779015</v>
      </c>
      <c r="F100">
        <f t="shared" si="14"/>
        <v>0.39789876248148143</v>
      </c>
      <c r="G100">
        <f t="shared" si="15"/>
        <v>3.105</v>
      </c>
      <c r="H100">
        <f t="shared" si="16"/>
        <v>0.40554750000000001</v>
      </c>
      <c r="I100">
        <f t="shared" si="17"/>
        <v>19.597549999999998</v>
      </c>
    </row>
    <row r="101" spans="1:9" x14ac:dyDescent="0.3">
      <c r="A101">
        <f t="shared" si="18"/>
        <v>86</v>
      </c>
      <c r="B101">
        <f t="shared" si="11"/>
        <v>-9.3333333333333324E-2</v>
      </c>
      <c r="C101">
        <f t="shared" si="10"/>
        <v>1.2882392000000003</v>
      </c>
      <c r="D101">
        <f t="shared" si="12"/>
        <v>0.16825835328888891</v>
      </c>
      <c r="E101">
        <f t="shared" si="13"/>
        <v>0.7226537951850277</v>
      </c>
      <c r="F101">
        <f t="shared" si="14"/>
        <v>0.36933892880000002</v>
      </c>
      <c r="G101">
        <f t="shared" si="15"/>
        <v>3.1179999999999999</v>
      </c>
      <c r="H101">
        <f t="shared" si="16"/>
        <v>0.40724544444444438</v>
      </c>
      <c r="I101">
        <f t="shared" si="17"/>
        <v>19.604579999999999</v>
      </c>
    </row>
    <row r="102" spans="1:9" x14ac:dyDescent="0.3">
      <c r="A102">
        <f t="shared" si="18"/>
        <v>87</v>
      </c>
      <c r="B102">
        <f t="shared" si="11"/>
        <v>-9.9999999999999964E-2</v>
      </c>
      <c r="C102">
        <f t="shared" si="10"/>
        <v>1.169839000000001</v>
      </c>
      <c r="D102">
        <f t="shared" si="12"/>
        <v>0.15279397161111122</v>
      </c>
      <c r="E102">
        <f t="shared" si="13"/>
        <v>0.66672531071411745</v>
      </c>
      <c r="F102">
        <f t="shared" si="14"/>
        <v>0.34075460988888912</v>
      </c>
      <c r="G102">
        <f t="shared" si="15"/>
        <v>3.1310000000000002</v>
      </c>
      <c r="H102">
        <f t="shared" si="16"/>
        <v>0.40894338888888887</v>
      </c>
      <c r="I102">
        <f t="shared" si="17"/>
        <v>19.611609999999999</v>
      </c>
    </row>
    <row r="103" spans="1:9" x14ac:dyDescent="0.3">
      <c r="A103">
        <f t="shared" si="18"/>
        <v>88</v>
      </c>
      <c r="B103">
        <f t="shared" si="11"/>
        <v>-0.10666666666666672</v>
      </c>
      <c r="C103">
        <f t="shared" si="10"/>
        <v>1.0513450666666659</v>
      </c>
      <c r="D103">
        <f t="shared" si="12"/>
        <v>0.13731734731851841</v>
      </c>
      <c r="E103">
        <f t="shared" si="13"/>
        <v>0.61074891809505771</v>
      </c>
      <c r="F103">
        <f t="shared" si="14"/>
        <v>0.31214580574814793</v>
      </c>
      <c r="G103">
        <f t="shared" si="15"/>
        <v>3.1440000000000001</v>
      </c>
      <c r="H103">
        <f t="shared" si="16"/>
        <v>0.41064133333333336</v>
      </c>
      <c r="I103">
        <f t="shared" si="17"/>
        <v>19.618639999999999</v>
      </c>
    </row>
    <row r="104" spans="1:9" x14ac:dyDescent="0.3">
      <c r="A104">
        <f t="shared" si="18"/>
        <v>89</v>
      </c>
      <c r="B104">
        <f t="shared" si="11"/>
        <v>-0.11333333333333336</v>
      </c>
      <c r="C104">
        <f t="shared" si="10"/>
        <v>0.93275739999999985</v>
      </c>
      <c r="D104">
        <f t="shared" si="12"/>
        <v>0.12182848041111108</v>
      </c>
      <c r="E104">
        <f t="shared" si="13"/>
        <v>0.55472461732785106</v>
      </c>
      <c r="F104">
        <f t="shared" si="14"/>
        <v>0.28351251637777775</v>
      </c>
      <c r="G104">
        <f t="shared" si="15"/>
        <v>3.157</v>
      </c>
      <c r="H104">
        <f t="shared" si="16"/>
        <v>0.41233927777777774</v>
      </c>
      <c r="I104">
        <f t="shared" si="17"/>
        <v>19.62567</v>
      </c>
    </row>
    <row r="105" spans="1:9" x14ac:dyDescent="0.3">
      <c r="A105">
        <f t="shared" si="18"/>
        <v>90</v>
      </c>
      <c r="B105">
        <f t="shared" si="11"/>
        <v>-0.12</v>
      </c>
      <c r="C105">
        <f t="shared" si="10"/>
        <v>0.81407599999999958</v>
      </c>
      <c r="D105">
        <f t="shared" si="12"/>
        <v>0.10632737088888883</v>
      </c>
      <c r="E105">
        <f t="shared" si="13"/>
        <v>0.49865240841249564</v>
      </c>
      <c r="F105">
        <f t="shared" si="14"/>
        <v>0.25485474177777762</v>
      </c>
      <c r="G105">
        <f t="shared" si="15"/>
        <v>3.17</v>
      </c>
      <c r="H105">
        <f t="shared" si="16"/>
        <v>0.41403722222222222</v>
      </c>
      <c r="I105">
        <f t="shared" si="17"/>
        <v>19.632700000000003</v>
      </c>
    </row>
    <row r="106" spans="1:9" x14ac:dyDescent="0.3">
      <c r="A106">
        <f t="shared" si="18"/>
        <v>91</v>
      </c>
      <c r="B106">
        <f t="shared" si="11"/>
        <v>-0.12666666666666665</v>
      </c>
      <c r="C106">
        <f t="shared" si="10"/>
        <v>0.69530086666666691</v>
      </c>
      <c r="D106">
        <f t="shared" si="12"/>
        <v>9.0814018751851869E-2</v>
      </c>
      <c r="E106">
        <f t="shared" si="13"/>
        <v>0.44253229134899263</v>
      </c>
      <c r="F106">
        <f t="shared" si="14"/>
        <v>0.22617248194814818</v>
      </c>
      <c r="G106">
        <f t="shared" si="15"/>
        <v>3.1829999999999998</v>
      </c>
      <c r="H106">
        <f t="shared" si="16"/>
        <v>0.4157351666666666</v>
      </c>
      <c r="I106">
        <f t="shared" si="17"/>
        <v>19.63973</v>
      </c>
    </row>
    <row r="107" spans="1:9" x14ac:dyDescent="0.3">
      <c r="A107">
        <f t="shared" si="18"/>
        <v>92</v>
      </c>
      <c r="B107">
        <f t="shared" si="11"/>
        <v>-0.13333333333333328</v>
      </c>
      <c r="C107">
        <f t="shared" si="10"/>
        <v>0.57643200000000094</v>
      </c>
      <c r="D107">
        <f t="shared" si="12"/>
        <v>7.5288424000000118E-2</v>
      </c>
      <c r="E107">
        <f t="shared" si="13"/>
        <v>0.38636426613734154</v>
      </c>
      <c r="F107">
        <f t="shared" si="14"/>
        <v>0.1974657368888891</v>
      </c>
      <c r="G107">
        <f t="shared" si="15"/>
        <v>3.1959999999999997</v>
      </c>
      <c r="H107">
        <f t="shared" si="16"/>
        <v>0.41743311111111109</v>
      </c>
      <c r="I107">
        <f t="shared" si="17"/>
        <v>19.64676</v>
      </c>
    </row>
    <row r="108" spans="1:9" x14ac:dyDescent="0.3">
      <c r="A108">
        <f t="shared" si="18"/>
        <v>93</v>
      </c>
      <c r="B108">
        <f t="shared" si="11"/>
        <v>-0.14000000000000004</v>
      </c>
      <c r="C108">
        <f t="shared" si="10"/>
        <v>0.45746939999999858</v>
      </c>
      <c r="D108">
        <f t="shared" si="12"/>
        <v>5.9750586633333144E-2</v>
      </c>
      <c r="E108">
        <f t="shared" si="13"/>
        <v>0.3301483327775408</v>
      </c>
      <c r="F108">
        <f t="shared" si="14"/>
        <v>0.16873450659999964</v>
      </c>
      <c r="G108">
        <f t="shared" si="15"/>
        <v>3.2089999999999996</v>
      </c>
      <c r="H108">
        <f t="shared" si="16"/>
        <v>0.41913105555555547</v>
      </c>
      <c r="I108">
        <f t="shared" si="17"/>
        <v>19.653790000000001</v>
      </c>
    </row>
    <row r="109" spans="1:9" x14ac:dyDescent="0.3">
      <c r="A109">
        <f t="shared" si="18"/>
        <v>94</v>
      </c>
      <c r="B109">
        <f t="shared" si="11"/>
        <v>-0.14666666666666667</v>
      </c>
      <c r="C109">
        <f t="shared" si="10"/>
        <v>0.33841306666666648</v>
      </c>
      <c r="D109">
        <f t="shared" si="12"/>
        <v>4.4200506651851823E-2</v>
      </c>
      <c r="E109">
        <f t="shared" si="13"/>
        <v>0.27388449126959363</v>
      </c>
      <c r="F109">
        <f t="shared" si="14"/>
        <v>0.13997879108148142</v>
      </c>
      <c r="G109">
        <f t="shared" si="15"/>
        <v>3.222</v>
      </c>
      <c r="H109">
        <f t="shared" si="16"/>
        <v>0.42082899999999995</v>
      </c>
      <c r="I109">
        <f t="shared" si="17"/>
        <v>19.660820000000001</v>
      </c>
    </row>
    <row r="110" spans="1:9" x14ac:dyDescent="0.3">
      <c r="A110">
        <f t="shared" si="18"/>
        <v>95</v>
      </c>
      <c r="B110">
        <f t="shared" si="11"/>
        <v>-0.15333333333333332</v>
      </c>
      <c r="C110">
        <f t="shared" si="10"/>
        <v>0.21926299999999976</v>
      </c>
      <c r="D110">
        <f t="shared" si="12"/>
        <v>2.8638184055555523E-2</v>
      </c>
      <c r="E110">
        <f t="shared" si="13"/>
        <v>0.21757274161349771</v>
      </c>
      <c r="F110">
        <f t="shared" si="14"/>
        <v>0.11119859033333328</v>
      </c>
      <c r="G110">
        <f t="shared" si="15"/>
        <v>3.2349999999999999</v>
      </c>
      <c r="H110">
        <f t="shared" si="16"/>
        <v>0.42252694444444444</v>
      </c>
      <c r="I110">
        <f t="shared" si="17"/>
        <v>19.667850000000001</v>
      </c>
    </row>
    <row r="111" spans="1:9" x14ac:dyDescent="0.3">
      <c r="A111">
        <f t="shared" si="18"/>
        <v>96</v>
      </c>
      <c r="B111">
        <f t="shared" si="11"/>
        <v>-0.15999999999999995</v>
      </c>
      <c r="C111">
        <f t="shared" ref="C111:C129" si="19">B111*I111+G111</f>
        <v>0.10001920000000109</v>
      </c>
      <c r="D111">
        <f t="shared" si="12"/>
        <v>1.3063618844444585E-2</v>
      </c>
      <c r="E111">
        <f t="shared" si="13"/>
        <v>0.16121308380925425</v>
      </c>
      <c r="F111">
        <f t="shared" si="14"/>
        <v>8.2393904355555811E-2</v>
      </c>
      <c r="G111">
        <f t="shared" si="15"/>
        <v>3.2480000000000002</v>
      </c>
      <c r="H111">
        <f t="shared" si="16"/>
        <v>0.42422488888888887</v>
      </c>
      <c r="I111">
        <f t="shared" si="17"/>
        <v>19.674880000000002</v>
      </c>
    </row>
    <row r="112" spans="1:9" x14ac:dyDescent="0.3">
      <c r="A112">
        <f t="shared" si="18"/>
        <v>97</v>
      </c>
      <c r="B112">
        <f t="shared" si="11"/>
        <v>-0.16666666666666671</v>
      </c>
      <c r="C112">
        <f t="shared" si="19"/>
        <v>-1.9318333333333992E-2</v>
      </c>
      <c r="D112">
        <f t="shared" si="12"/>
        <v>-2.5231889814815675E-3</v>
      </c>
      <c r="E112">
        <f t="shared" si="13"/>
        <v>0.10480551785686124</v>
      </c>
      <c r="F112">
        <f t="shared" si="14"/>
        <v>5.356473314814799E-2</v>
      </c>
      <c r="G112">
        <f t="shared" si="15"/>
        <v>3.2610000000000001</v>
      </c>
      <c r="H112">
        <f t="shared" si="16"/>
        <v>0.42592283333333331</v>
      </c>
      <c r="I112">
        <f t="shared" si="17"/>
        <v>19.681909999999998</v>
      </c>
    </row>
    <row r="113" spans="1:9" x14ac:dyDescent="0.3">
      <c r="A113">
        <f t="shared" si="18"/>
        <v>98</v>
      </c>
      <c r="B113">
        <f t="shared" si="11"/>
        <v>-0.17333333333333334</v>
      </c>
      <c r="C113">
        <f t="shared" si="19"/>
        <v>-0.1387495999999997</v>
      </c>
      <c r="D113">
        <f t="shared" si="12"/>
        <v>-1.8122239422222179E-2</v>
      </c>
      <c r="E113">
        <f t="shared" si="13"/>
        <v>4.8350043756321348E-2</v>
      </c>
      <c r="F113">
        <f t="shared" si="14"/>
        <v>2.4711076711111193E-2</v>
      </c>
      <c r="G113">
        <f t="shared" si="15"/>
        <v>3.274</v>
      </c>
      <c r="H113">
        <f t="shared" si="16"/>
        <v>0.42762077777777774</v>
      </c>
      <c r="I113">
        <f t="shared" si="17"/>
        <v>19.688939999999999</v>
      </c>
    </row>
    <row r="114" spans="1:9" x14ac:dyDescent="0.3">
      <c r="A114">
        <f t="shared" si="18"/>
        <v>99</v>
      </c>
      <c r="B114">
        <f t="shared" si="11"/>
        <v>-0.18</v>
      </c>
      <c r="C114">
        <f t="shared" si="19"/>
        <v>-0.25827459999999958</v>
      </c>
      <c r="D114">
        <f t="shared" si="12"/>
        <v>-3.3733532477777717E-2</v>
      </c>
      <c r="E114">
        <f t="shared" si="13"/>
        <v>-8.1533384923670859E-3</v>
      </c>
      <c r="F114">
        <f t="shared" si="14"/>
        <v>-4.1670649555554384E-3</v>
      </c>
      <c r="G114">
        <f t="shared" si="15"/>
        <v>3.2869999999999999</v>
      </c>
      <c r="H114">
        <f t="shared" si="16"/>
        <v>0.42931872222222217</v>
      </c>
      <c r="I114">
        <f t="shared" si="17"/>
        <v>19.695969999999999</v>
      </c>
    </row>
    <row r="115" spans="1:9" x14ac:dyDescent="0.3">
      <c r="A115">
        <f t="shared" si="18"/>
        <v>100</v>
      </c>
      <c r="B115">
        <f t="shared" si="11"/>
        <v>-0.18666666666666665</v>
      </c>
      <c r="C115">
        <f t="shared" si="19"/>
        <v>-0.37789333333333319</v>
      </c>
      <c r="D115">
        <f t="shared" si="12"/>
        <v>-4.9357068148148123E-2</v>
      </c>
      <c r="E115">
        <f t="shared" si="13"/>
        <v>-6.4704628889203919E-2</v>
      </c>
      <c r="F115">
        <f t="shared" si="14"/>
        <v>-3.3069691851851823E-2</v>
      </c>
      <c r="G115">
        <f t="shared" si="15"/>
        <v>3.3</v>
      </c>
      <c r="H115">
        <f t="shared" si="16"/>
        <v>0.43101666666666666</v>
      </c>
      <c r="I115">
        <f t="shared" si="17"/>
        <v>19.702999999999999</v>
      </c>
    </row>
    <row r="116" spans="1:9" x14ac:dyDescent="0.3">
      <c r="A116">
        <f t="shared" si="18"/>
        <v>101</v>
      </c>
      <c r="B116">
        <f t="shared" si="11"/>
        <v>-0.19333333333333327</v>
      </c>
      <c r="C116">
        <f t="shared" si="19"/>
        <v>-0.49760579999999921</v>
      </c>
      <c r="D116">
        <f t="shared" si="12"/>
        <v>-6.4992846433333223E-2</v>
      </c>
      <c r="E116">
        <f t="shared" si="13"/>
        <v>-0.12130382743418838</v>
      </c>
      <c r="F116">
        <f t="shared" si="14"/>
        <v>-6.1996803977777577E-2</v>
      </c>
      <c r="G116">
        <f t="shared" si="15"/>
        <v>3.3129999999999997</v>
      </c>
      <c r="H116">
        <f t="shared" si="16"/>
        <v>0.43271461111111104</v>
      </c>
      <c r="I116">
        <f t="shared" si="17"/>
        <v>19.71003</v>
      </c>
    </row>
    <row r="117" spans="1:9" x14ac:dyDescent="0.3">
      <c r="A117">
        <f t="shared" si="18"/>
        <v>102</v>
      </c>
      <c r="B117">
        <f t="shared" si="11"/>
        <v>-0.20000000000000004</v>
      </c>
      <c r="C117">
        <f t="shared" si="19"/>
        <v>-0.61741200000000207</v>
      </c>
      <c r="D117">
        <f t="shared" si="12"/>
        <v>-8.0640867333333602E-2</v>
      </c>
      <c r="E117">
        <f t="shared" si="13"/>
        <v>-0.1779509341273228</v>
      </c>
      <c r="F117">
        <f t="shared" si="14"/>
        <v>-9.0948401333333873E-2</v>
      </c>
      <c r="G117">
        <f t="shared" si="15"/>
        <v>3.3259999999999996</v>
      </c>
      <c r="H117">
        <f t="shared" si="16"/>
        <v>0.43441255555555552</v>
      </c>
      <c r="I117">
        <f t="shared" si="17"/>
        <v>19.717060000000004</v>
      </c>
    </row>
    <row r="118" spans="1:9" x14ac:dyDescent="0.3">
      <c r="A118">
        <f t="shared" si="18"/>
        <v>103</v>
      </c>
      <c r="B118">
        <f t="shared" si="11"/>
        <v>-0.20666666666666667</v>
      </c>
      <c r="C118">
        <f t="shared" si="19"/>
        <v>-0.73731193333333378</v>
      </c>
      <c r="D118">
        <f t="shared" si="12"/>
        <v>-9.6301130848148203E-2</v>
      </c>
      <c r="E118">
        <f t="shared" si="13"/>
        <v>-0.23464594896860308</v>
      </c>
      <c r="F118">
        <f t="shared" si="14"/>
        <v>-0.11992448391851866</v>
      </c>
      <c r="G118">
        <f t="shared" si="15"/>
        <v>3.339</v>
      </c>
      <c r="H118">
        <f t="shared" si="16"/>
        <v>0.43611049999999996</v>
      </c>
      <c r="I118">
        <f t="shared" si="17"/>
        <v>19.72409</v>
      </c>
    </row>
    <row r="119" spans="1:9" x14ac:dyDescent="0.3">
      <c r="A119">
        <f t="shared" si="18"/>
        <v>104</v>
      </c>
      <c r="B119">
        <f t="shared" si="11"/>
        <v>-0.21333333333333332</v>
      </c>
      <c r="C119">
        <f t="shared" si="19"/>
        <v>-0.85730559999999967</v>
      </c>
      <c r="D119">
        <f t="shared" si="12"/>
        <v>-0.11197363697777774</v>
      </c>
      <c r="E119">
        <f t="shared" si="13"/>
        <v>-0.29138887195803193</v>
      </c>
      <c r="F119">
        <f t="shared" si="14"/>
        <v>-0.14892505173333326</v>
      </c>
      <c r="G119">
        <f t="shared" si="15"/>
        <v>3.3519999999999999</v>
      </c>
      <c r="H119">
        <f t="shared" si="16"/>
        <v>0.43780844444444439</v>
      </c>
      <c r="I119">
        <f t="shared" si="17"/>
        <v>19.731120000000001</v>
      </c>
    </row>
    <row r="120" spans="1:9" x14ac:dyDescent="0.3">
      <c r="A120">
        <f t="shared" si="18"/>
        <v>105</v>
      </c>
      <c r="B120">
        <f t="shared" si="11"/>
        <v>-0.21999999999999995</v>
      </c>
      <c r="C120">
        <f t="shared" si="19"/>
        <v>-0.97739299999999929</v>
      </c>
      <c r="D120">
        <f t="shared" si="12"/>
        <v>-0.1276583857222221</v>
      </c>
      <c r="E120">
        <f t="shared" si="13"/>
        <v>-0.34817970309560897</v>
      </c>
      <c r="F120">
        <f t="shared" si="14"/>
        <v>-0.17795010477777753</v>
      </c>
      <c r="G120">
        <f t="shared" si="15"/>
        <v>3.3650000000000002</v>
      </c>
      <c r="H120">
        <f t="shared" si="16"/>
        <v>0.43950638888888882</v>
      </c>
      <c r="I120">
        <f t="shared" si="17"/>
        <v>19.738150000000001</v>
      </c>
    </row>
    <row r="121" spans="1:9" x14ac:dyDescent="0.3">
      <c r="A121">
        <f t="shared" si="18"/>
        <v>106</v>
      </c>
      <c r="B121">
        <f t="shared" si="11"/>
        <v>-0.22666666666666671</v>
      </c>
      <c r="C121">
        <f t="shared" si="19"/>
        <v>-1.0975741333333344</v>
      </c>
      <c r="D121">
        <f t="shared" si="12"/>
        <v>-0.14335537708148161</v>
      </c>
      <c r="E121">
        <f t="shared" si="13"/>
        <v>-0.40501844238133539</v>
      </c>
      <c r="F121">
        <f t="shared" si="14"/>
        <v>-0.20699964305185206</v>
      </c>
      <c r="G121">
        <f t="shared" si="15"/>
        <v>3.3780000000000001</v>
      </c>
      <c r="H121">
        <f t="shared" si="16"/>
        <v>0.44120433333333331</v>
      </c>
      <c r="I121">
        <f t="shared" si="17"/>
        <v>19.745180000000001</v>
      </c>
    </row>
    <row r="122" spans="1:9" x14ac:dyDescent="0.3">
      <c r="A122">
        <f t="shared" si="18"/>
        <v>107</v>
      </c>
      <c r="B122">
        <f t="shared" si="11"/>
        <v>-0.23333333333333334</v>
      </c>
      <c r="C122">
        <f t="shared" si="19"/>
        <v>-1.2178490000000002</v>
      </c>
      <c r="D122">
        <f t="shared" si="12"/>
        <v>-0.15906461105555558</v>
      </c>
      <c r="E122">
        <f t="shared" si="13"/>
        <v>-0.46190508981520878</v>
      </c>
      <c r="F122">
        <f t="shared" si="14"/>
        <v>-0.23607366655555562</v>
      </c>
      <c r="G122">
        <f t="shared" si="15"/>
        <v>3.391</v>
      </c>
      <c r="H122">
        <f t="shared" si="16"/>
        <v>0.44290227777777769</v>
      </c>
      <c r="I122">
        <f t="shared" si="17"/>
        <v>19.752210000000002</v>
      </c>
    </row>
    <row r="123" spans="1:9" x14ac:dyDescent="0.3">
      <c r="A123">
        <f t="shared" si="18"/>
        <v>108</v>
      </c>
      <c r="B123">
        <f t="shared" si="11"/>
        <v>-0.24</v>
      </c>
      <c r="C123">
        <f t="shared" si="19"/>
        <v>-1.3382175999999992</v>
      </c>
      <c r="D123">
        <f t="shared" si="12"/>
        <v>-0.17478608764444434</v>
      </c>
      <c r="E123">
        <f t="shared" si="13"/>
        <v>-0.51883964539723004</v>
      </c>
      <c r="F123">
        <f t="shared" si="14"/>
        <v>-0.26517217528888865</v>
      </c>
      <c r="G123">
        <f t="shared" si="15"/>
        <v>3.4039999999999999</v>
      </c>
      <c r="H123">
        <f t="shared" si="16"/>
        <v>0.44460022222222217</v>
      </c>
      <c r="I123">
        <f t="shared" si="17"/>
        <v>19.759239999999998</v>
      </c>
    </row>
    <row r="124" spans="1:9" x14ac:dyDescent="0.3">
      <c r="A124">
        <f t="shared" si="18"/>
        <v>109</v>
      </c>
      <c r="B124">
        <f t="shared" si="11"/>
        <v>-0.24666666666666665</v>
      </c>
      <c r="C124">
        <f t="shared" si="19"/>
        <v>-1.4586799333333325</v>
      </c>
      <c r="D124">
        <f t="shared" si="12"/>
        <v>-0.19051980684814801</v>
      </c>
      <c r="E124">
        <f t="shared" si="13"/>
        <v>-0.57582210912740006</v>
      </c>
      <c r="F124">
        <f t="shared" si="14"/>
        <v>-0.29429516925185162</v>
      </c>
      <c r="G124">
        <f t="shared" si="15"/>
        <v>3.4169999999999998</v>
      </c>
      <c r="H124">
        <f t="shared" si="16"/>
        <v>0.44629816666666661</v>
      </c>
      <c r="I124">
        <f t="shared" si="17"/>
        <v>19.766269999999999</v>
      </c>
    </row>
    <row r="125" spans="1:9" x14ac:dyDescent="0.3">
      <c r="A125">
        <f t="shared" si="18"/>
        <v>110</v>
      </c>
      <c r="B125">
        <f t="shared" si="11"/>
        <v>-0.2533333333333333</v>
      </c>
      <c r="C125">
        <f t="shared" si="19"/>
        <v>-1.579235999999999</v>
      </c>
      <c r="D125">
        <f t="shared" si="12"/>
        <v>-0.20626576866666652</v>
      </c>
      <c r="E125">
        <f t="shared" si="13"/>
        <v>-0.63285248100571823</v>
      </c>
      <c r="F125">
        <f t="shared" si="14"/>
        <v>-0.3234426484444442</v>
      </c>
      <c r="G125">
        <f t="shared" si="15"/>
        <v>3.4299999999999997</v>
      </c>
      <c r="H125">
        <f t="shared" si="16"/>
        <v>0.44799611111111104</v>
      </c>
      <c r="I125">
        <f t="shared" si="17"/>
        <v>19.773299999999999</v>
      </c>
    </row>
    <row r="126" spans="1:9" x14ac:dyDescent="0.3">
      <c r="A126">
        <f t="shared" si="18"/>
        <v>111</v>
      </c>
      <c r="B126">
        <f t="shared" si="11"/>
        <v>-0.26</v>
      </c>
      <c r="C126">
        <f t="shared" si="19"/>
        <v>-1.6998858000000006</v>
      </c>
      <c r="D126">
        <f t="shared" si="12"/>
        <v>-0.22202397310000008</v>
      </c>
      <c r="E126">
        <f t="shared" si="13"/>
        <v>-0.6899307610321852</v>
      </c>
      <c r="F126">
        <f t="shared" si="14"/>
        <v>-0.35261461286666679</v>
      </c>
      <c r="G126">
        <f t="shared" si="15"/>
        <v>3.4429999999999996</v>
      </c>
      <c r="H126">
        <f t="shared" si="16"/>
        <v>0.44969405555555547</v>
      </c>
      <c r="I126">
        <f t="shared" si="17"/>
        <v>19.780329999999999</v>
      </c>
    </row>
    <row r="127" spans="1:9" x14ac:dyDescent="0.3">
      <c r="A127">
        <f t="shared" si="18"/>
        <v>112</v>
      </c>
      <c r="B127">
        <f t="shared" si="11"/>
        <v>-0.26666666666666666</v>
      </c>
      <c r="C127">
        <f t="shared" si="19"/>
        <v>-1.8206293333333332</v>
      </c>
      <c r="D127">
        <f t="shared" si="12"/>
        <v>-0.23779442014814814</v>
      </c>
      <c r="E127">
        <f t="shared" si="13"/>
        <v>-0.74705694920679944</v>
      </c>
      <c r="F127">
        <f t="shared" si="14"/>
        <v>-0.38181106251851854</v>
      </c>
      <c r="G127">
        <f t="shared" si="15"/>
        <v>3.456</v>
      </c>
      <c r="H127">
        <f t="shared" si="16"/>
        <v>0.4513919999999999</v>
      </c>
      <c r="I127">
        <f t="shared" si="17"/>
        <v>19.78736</v>
      </c>
    </row>
    <row r="128" spans="1:9" x14ac:dyDescent="0.3">
      <c r="A128">
        <f t="shared" si="18"/>
        <v>113</v>
      </c>
      <c r="B128">
        <f t="shared" si="11"/>
        <v>-0.27333333333333332</v>
      </c>
      <c r="C128">
        <f t="shared" si="19"/>
        <v>-1.9414665999999996</v>
      </c>
      <c r="D128">
        <f t="shared" si="12"/>
        <v>-0.25357710981111103</v>
      </c>
      <c r="E128">
        <f t="shared" si="13"/>
        <v>-0.80423104552956159</v>
      </c>
      <c r="F128">
        <f t="shared" si="14"/>
        <v>-0.41103199739999985</v>
      </c>
      <c r="G128">
        <f t="shared" si="15"/>
        <v>3.4689999999999999</v>
      </c>
      <c r="H128">
        <f t="shared" si="16"/>
        <v>0.45308994444444439</v>
      </c>
      <c r="I128">
        <f t="shared" si="17"/>
        <v>19.79439</v>
      </c>
    </row>
    <row r="129" spans="1:9" x14ac:dyDescent="0.3">
      <c r="A129">
        <f t="shared" si="18"/>
        <v>114</v>
      </c>
      <c r="B129">
        <f t="shared" si="11"/>
        <v>-0.27999999999999997</v>
      </c>
      <c r="C129">
        <f t="shared" si="19"/>
        <v>-2.0623975999999997</v>
      </c>
      <c r="D129">
        <f t="shared" si="12"/>
        <v>-0.26937204208888882</v>
      </c>
      <c r="E129">
        <f t="shared" si="13"/>
        <v>-0.86145305000047245</v>
      </c>
      <c r="F129">
        <f t="shared" si="14"/>
        <v>-0.44027741751111105</v>
      </c>
      <c r="G129">
        <f t="shared" si="15"/>
        <v>3.4820000000000002</v>
      </c>
      <c r="H129">
        <f t="shared" si="16"/>
        <v>0.45478788888888888</v>
      </c>
      <c r="I129">
        <f t="shared" si="17"/>
        <v>19.80142</v>
      </c>
    </row>
    <row r="130" spans="1:9" x14ac:dyDescent="0.3">
      <c r="A130">
        <f t="shared" si="18"/>
        <v>115</v>
      </c>
      <c r="B130">
        <f t="shared" ref="B130:B163" si="20">(1-A130/B$10)*B$9</f>
        <v>-0.28666666666666668</v>
      </c>
      <c r="C130">
        <f t="shared" ref="C130:C163" si="21">B130*I130+G130</f>
        <v>-2.1834223333333336</v>
      </c>
      <c r="D130">
        <f t="shared" si="12"/>
        <v>-0.28517921698148152</v>
      </c>
      <c r="E130">
        <f t="shared" si="13"/>
        <v>-0.91872296261953168</v>
      </c>
      <c r="F130">
        <f t="shared" ref="F130:F163" si="22">(B130*$B$8-D130*$D$8)/-$C$8</f>
        <v>-0.46954732285185191</v>
      </c>
      <c r="G130">
        <f t="shared" ref="G130:G163" si="23">$D$3*(1+$D$4*A130)</f>
        <v>3.4950000000000001</v>
      </c>
      <c r="H130">
        <f t="shared" si="16"/>
        <v>0.45648583333333337</v>
      </c>
      <c r="I130">
        <f t="shared" ref="I130:I163" si="24">$D$1*(1+$D$2*A130)</f>
        <v>19.808450000000001</v>
      </c>
    </row>
    <row r="131" spans="1:9" x14ac:dyDescent="0.3">
      <c r="A131">
        <f t="shared" si="18"/>
        <v>116</v>
      </c>
      <c r="B131">
        <f t="shared" si="20"/>
        <v>-0.29333333333333333</v>
      </c>
      <c r="C131">
        <f t="shared" si="21"/>
        <v>-2.3045407999999998</v>
      </c>
      <c r="D131">
        <f t="shared" si="12"/>
        <v>-0.30099863448888881</v>
      </c>
      <c r="E131">
        <f t="shared" si="13"/>
        <v>-0.97604078338673816</v>
      </c>
      <c r="F131">
        <f t="shared" si="22"/>
        <v>-0.498841713422222</v>
      </c>
      <c r="G131">
        <f t="shared" si="23"/>
        <v>3.508</v>
      </c>
      <c r="H131">
        <f t="shared" si="16"/>
        <v>0.45818377777777775</v>
      </c>
      <c r="I131">
        <f t="shared" si="24"/>
        <v>19.815480000000001</v>
      </c>
    </row>
    <row r="132" spans="1:9" x14ac:dyDescent="0.3">
      <c r="A132">
        <f t="shared" si="18"/>
        <v>117</v>
      </c>
      <c r="B132">
        <f t="shared" si="20"/>
        <v>-0.3</v>
      </c>
      <c r="C132">
        <f t="shared" si="21"/>
        <v>-2.4257530000000003</v>
      </c>
      <c r="D132">
        <f t="shared" si="12"/>
        <v>-0.31683029461111112</v>
      </c>
      <c r="E132">
        <f t="shared" si="13"/>
        <v>-1.0334065123020937</v>
      </c>
      <c r="F132">
        <f t="shared" si="22"/>
        <v>-0.5281605892222222</v>
      </c>
      <c r="G132">
        <f t="shared" si="23"/>
        <v>3.5209999999999999</v>
      </c>
      <c r="H132">
        <f t="shared" si="16"/>
        <v>0.45988172222222212</v>
      </c>
      <c r="I132">
        <f t="shared" si="24"/>
        <v>19.822510000000001</v>
      </c>
    </row>
    <row r="133" spans="1:9" x14ac:dyDescent="0.3">
      <c r="A133">
        <f t="shared" si="18"/>
        <v>118</v>
      </c>
      <c r="B133">
        <f t="shared" si="20"/>
        <v>-0.30666666666666664</v>
      </c>
      <c r="C133">
        <f t="shared" si="21"/>
        <v>-2.5470589333333331</v>
      </c>
      <c r="D133">
        <f t="shared" si="12"/>
        <v>-0.33267419734814807</v>
      </c>
      <c r="E133">
        <f t="shared" si="13"/>
        <v>-1.0908201493655969</v>
      </c>
      <c r="F133">
        <f t="shared" si="22"/>
        <v>-0.55750395025185173</v>
      </c>
      <c r="G133">
        <f t="shared" si="23"/>
        <v>3.5339999999999998</v>
      </c>
      <c r="H133">
        <f t="shared" si="16"/>
        <v>0.46157966666666661</v>
      </c>
      <c r="I133">
        <f t="shared" si="24"/>
        <v>19.829540000000001</v>
      </c>
    </row>
    <row r="134" spans="1:9" x14ac:dyDescent="0.3">
      <c r="A134">
        <f t="shared" si="18"/>
        <v>119</v>
      </c>
      <c r="B134">
        <f t="shared" si="20"/>
        <v>-0.3133333333333333</v>
      </c>
      <c r="C134">
        <f t="shared" si="21"/>
        <v>-2.6684586000000001</v>
      </c>
      <c r="D134">
        <f t="shared" si="12"/>
        <v>-0.3485303427</v>
      </c>
      <c r="E134">
        <f t="shared" si="13"/>
        <v>-1.1482816945772485</v>
      </c>
      <c r="F134">
        <f t="shared" si="22"/>
        <v>-0.5868717965111111</v>
      </c>
      <c r="G134">
        <f t="shared" si="23"/>
        <v>3.5469999999999997</v>
      </c>
      <c r="H134">
        <f t="shared" si="16"/>
        <v>0.46327761111111099</v>
      </c>
      <c r="I134">
        <f t="shared" si="24"/>
        <v>19.836570000000002</v>
      </c>
    </row>
    <row r="135" spans="1:9" x14ac:dyDescent="0.3">
      <c r="A135">
        <f t="shared" si="18"/>
        <v>120</v>
      </c>
      <c r="B135">
        <f t="shared" si="20"/>
        <v>-0.32</v>
      </c>
      <c r="C135">
        <f t="shared" si="21"/>
        <v>-2.7899520000000004</v>
      </c>
      <c r="D135">
        <f t="shared" si="12"/>
        <v>-0.36439873066666673</v>
      </c>
      <c r="E135">
        <f t="shared" si="13"/>
        <v>-1.2057911479370482</v>
      </c>
      <c r="F135">
        <f t="shared" si="22"/>
        <v>-0.61626412800000008</v>
      </c>
      <c r="G135">
        <f t="shared" si="23"/>
        <v>3.5599999999999996</v>
      </c>
      <c r="H135">
        <f t="shared" si="16"/>
        <v>0.46497555555555548</v>
      </c>
      <c r="I135">
        <f t="shared" si="24"/>
        <v>19.843599999999999</v>
      </c>
    </row>
    <row r="136" spans="1:9" x14ac:dyDescent="0.3">
      <c r="A136">
        <f t="shared" si="18"/>
        <v>121</v>
      </c>
      <c r="B136">
        <f t="shared" si="20"/>
        <v>-0.32666666666666666</v>
      </c>
      <c r="C136">
        <f t="shared" si="21"/>
        <v>-2.9115391333333327</v>
      </c>
      <c r="D136">
        <f t="shared" si="12"/>
        <v>-0.38027936124814804</v>
      </c>
      <c r="E136">
        <f t="shared" si="13"/>
        <v>-1.2633485094449954</v>
      </c>
      <c r="F136">
        <f t="shared" si="22"/>
        <v>-0.64568094471851822</v>
      </c>
      <c r="G136">
        <f t="shared" si="23"/>
        <v>3.573</v>
      </c>
      <c r="H136">
        <f t="shared" si="16"/>
        <v>0.46667349999999996</v>
      </c>
      <c r="I136">
        <f t="shared" si="24"/>
        <v>19.850629999999999</v>
      </c>
    </row>
    <row r="137" spans="1:9" x14ac:dyDescent="0.3">
      <c r="A137">
        <f t="shared" si="18"/>
        <v>122</v>
      </c>
      <c r="B137">
        <f t="shared" si="20"/>
        <v>-0.33333333333333331</v>
      </c>
      <c r="C137">
        <f t="shared" si="21"/>
        <v>-3.0332199999999996</v>
      </c>
      <c r="D137">
        <f t="shared" si="12"/>
        <v>-0.39617223444444433</v>
      </c>
      <c r="E137">
        <f t="shared" si="13"/>
        <v>-1.3209537791010917</v>
      </c>
      <c r="F137">
        <f t="shared" si="22"/>
        <v>-0.67512224666666654</v>
      </c>
      <c r="G137">
        <f t="shared" si="23"/>
        <v>3.5859999999999999</v>
      </c>
      <c r="H137">
        <f t="shared" si="16"/>
        <v>0.46837144444444445</v>
      </c>
      <c r="I137">
        <f t="shared" si="24"/>
        <v>19.857659999999999</v>
      </c>
    </row>
    <row r="138" spans="1:9" x14ac:dyDescent="0.3">
      <c r="A138">
        <f t="shared" si="18"/>
        <v>123</v>
      </c>
      <c r="B138">
        <f t="shared" si="20"/>
        <v>-0.33999999999999997</v>
      </c>
      <c r="C138">
        <f t="shared" si="21"/>
        <v>-3.1549945999999993</v>
      </c>
      <c r="D138">
        <f t="shared" si="12"/>
        <v>-0.41207735025555542</v>
      </c>
      <c r="E138">
        <f t="shared" si="13"/>
        <v>-1.3786069569053354</v>
      </c>
      <c r="F138">
        <f t="shared" si="22"/>
        <v>-0.70458803384444424</v>
      </c>
      <c r="G138">
        <f t="shared" si="23"/>
        <v>3.5990000000000002</v>
      </c>
      <c r="H138">
        <f t="shared" si="16"/>
        <v>0.47006938888888888</v>
      </c>
      <c r="I138">
        <f t="shared" si="24"/>
        <v>19.86469</v>
      </c>
    </row>
    <row r="139" spans="1:9" x14ac:dyDescent="0.3">
      <c r="A139">
        <f t="shared" si="18"/>
        <v>124</v>
      </c>
      <c r="B139">
        <f t="shared" si="20"/>
        <v>-0.34666666666666668</v>
      </c>
      <c r="C139">
        <f t="shared" si="21"/>
        <v>-3.2768629333333337</v>
      </c>
      <c r="D139">
        <f t="shared" si="12"/>
        <v>-0.42799470868148148</v>
      </c>
      <c r="E139">
        <f t="shared" si="13"/>
        <v>-1.436308042857728</v>
      </c>
      <c r="F139">
        <f t="shared" si="22"/>
        <v>-0.73407830625185178</v>
      </c>
      <c r="G139">
        <f t="shared" si="23"/>
        <v>3.6120000000000001</v>
      </c>
      <c r="H139">
        <f t="shared" si="16"/>
        <v>0.47176733333333332</v>
      </c>
      <c r="I139">
        <f t="shared" si="24"/>
        <v>19.87172</v>
      </c>
    </row>
    <row r="140" spans="1:9" x14ac:dyDescent="0.3">
      <c r="A140">
        <f t="shared" si="18"/>
        <v>125</v>
      </c>
      <c r="B140">
        <f t="shared" si="20"/>
        <v>-0.35333333333333333</v>
      </c>
      <c r="C140">
        <f t="shared" si="21"/>
        <v>-3.3988249999999987</v>
      </c>
      <c r="D140">
        <f t="shared" si="12"/>
        <v>-0.44392430972222202</v>
      </c>
      <c r="E140">
        <f t="shared" si="13"/>
        <v>-1.4940570369582677</v>
      </c>
      <c r="F140">
        <f t="shared" si="22"/>
        <v>-0.76359306388888848</v>
      </c>
      <c r="G140">
        <f t="shared" si="23"/>
        <v>3.625</v>
      </c>
      <c r="H140">
        <f t="shared" si="16"/>
        <v>0.47346527777777775</v>
      </c>
      <c r="I140">
        <f t="shared" si="24"/>
        <v>19.878749999999997</v>
      </c>
    </row>
    <row r="141" spans="1:9" x14ac:dyDescent="0.3">
      <c r="A141">
        <f t="shared" si="18"/>
        <v>126</v>
      </c>
      <c r="B141">
        <f t="shared" si="20"/>
        <v>-0.36</v>
      </c>
      <c r="C141">
        <f t="shared" si="21"/>
        <v>-3.5208807999999996</v>
      </c>
      <c r="D141">
        <f t="shared" si="12"/>
        <v>-0.4598661533777777</v>
      </c>
      <c r="E141">
        <f t="shared" si="13"/>
        <v>-1.5518539392069566</v>
      </c>
      <c r="F141">
        <f t="shared" si="22"/>
        <v>-0.79313230675555546</v>
      </c>
      <c r="G141">
        <f t="shared" si="23"/>
        <v>3.6379999999999999</v>
      </c>
      <c r="H141">
        <f t="shared" si="16"/>
        <v>0.47516322222222218</v>
      </c>
      <c r="I141">
        <f t="shared" si="24"/>
        <v>19.88578</v>
      </c>
    </row>
    <row r="142" spans="1:9" x14ac:dyDescent="0.3">
      <c r="A142">
        <f t="shared" si="18"/>
        <v>127</v>
      </c>
      <c r="B142">
        <f t="shared" si="20"/>
        <v>-0.36666666666666664</v>
      </c>
      <c r="C142">
        <f t="shared" si="21"/>
        <v>-3.6430303333333329</v>
      </c>
      <c r="D142">
        <f t="shared" si="12"/>
        <v>-0.47582023964814801</v>
      </c>
      <c r="E142">
        <f t="shared" si="13"/>
        <v>-1.6096987496037931</v>
      </c>
      <c r="F142">
        <f t="shared" si="22"/>
        <v>-0.82269603485185161</v>
      </c>
      <c r="G142">
        <f t="shared" si="23"/>
        <v>3.6509999999999998</v>
      </c>
      <c r="H142">
        <f t="shared" si="16"/>
        <v>0.47686116666666661</v>
      </c>
      <c r="I142">
        <f t="shared" si="24"/>
        <v>19.892810000000001</v>
      </c>
    </row>
    <row r="143" spans="1:9" x14ac:dyDescent="0.3">
      <c r="A143">
        <f t="shared" si="18"/>
        <v>128</v>
      </c>
      <c r="B143">
        <f t="shared" si="20"/>
        <v>-0.37333333333333329</v>
      </c>
      <c r="C143">
        <f t="shared" si="21"/>
        <v>-3.7652735999999996</v>
      </c>
      <c r="D143">
        <f t="shared" si="12"/>
        <v>-0.49178656853333325</v>
      </c>
      <c r="E143">
        <f t="shared" si="13"/>
        <v>-1.6675914681487782</v>
      </c>
      <c r="F143">
        <f t="shared" si="22"/>
        <v>-0.85228424817777759</v>
      </c>
      <c r="G143">
        <f t="shared" si="23"/>
        <v>3.6639999999999997</v>
      </c>
      <c r="H143">
        <f t="shared" si="16"/>
        <v>0.47855911111111105</v>
      </c>
      <c r="I143">
        <f t="shared" si="24"/>
        <v>19.899840000000001</v>
      </c>
    </row>
    <row r="144" spans="1:9" x14ac:dyDescent="0.3">
      <c r="A144">
        <f t="shared" si="18"/>
        <v>129</v>
      </c>
      <c r="B144">
        <f t="shared" si="20"/>
        <v>-0.38</v>
      </c>
      <c r="C144">
        <f t="shared" si="21"/>
        <v>-3.8876106000000012</v>
      </c>
      <c r="D144">
        <f t="shared" ref="D144:D167" si="25">C144/$D$7*$B$7</f>
        <v>-0.5077651400333334</v>
      </c>
      <c r="E144">
        <f t="shared" ref="E144:E167" si="26">$C$7*F144/$B$7</f>
        <v>-1.7255320948419115</v>
      </c>
      <c r="F144">
        <f t="shared" si="22"/>
        <v>-0.88189694673333341</v>
      </c>
      <c r="G144">
        <f t="shared" si="23"/>
        <v>3.6769999999999996</v>
      </c>
      <c r="H144">
        <f t="shared" ref="H144:H167" si="27">G144/$D$7*$B$7</f>
        <v>0.48025705555555542</v>
      </c>
      <c r="I144">
        <f t="shared" si="24"/>
        <v>19.906870000000001</v>
      </c>
    </row>
    <row r="145" spans="1:9" x14ac:dyDescent="0.3">
      <c r="A145">
        <f t="shared" ref="A145:A167" si="28">A144+1</f>
        <v>130</v>
      </c>
      <c r="B145">
        <f t="shared" si="20"/>
        <v>-0.38666666666666666</v>
      </c>
      <c r="C145">
        <f t="shared" si="21"/>
        <v>-4.0100413333333336</v>
      </c>
      <c r="D145">
        <f t="shared" si="25"/>
        <v>-0.52375595414814813</v>
      </c>
      <c r="E145">
        <f t="shared" si="26"/>
        <v>-1.7835206296831927</v>
      </c>
      <c r="F145">
        <f t="shared" si="22"/>
        <v>-0.91153413051851861</v>
      </c>
      <c r="G145">
        <f t="shared" si="23"/>
        <v>3.69</v>
      </c>
      <c r="H145">
        <f t="shared" si="27"/>
        <v>0.48195499999999997</v>
      </c>
      <c r="I145">
        <f t="shared" si="24"/>
        <v>19.913900000000002</v>
      </c>
    </row>
    <row r="146" spans="1:9" x14ac:dyDescent="0.3">
      <c r="A146">
        <f t="shared" si="28"/>
        <v>131</v>
      </c>
      <c r="B146">
        <f t="shared" si="20"/>
        <v>-0.39333333333333331</v>
      </c>
      <c r="C146">
        <f t="shared" si="21"/>
        <v>-4.1325657999999983</v>
      </c>
      <c r="D146">
        <f t="shared" si="25"/>
        <v>-0.53975901087777745</v>
      </c>
      <c r="E146">
        <f t="shared" si="26"/>
        <v>-1.8415570726726205</v>
      </c>
      <c r="F146">
        <f t="shared" si="22"/>
        <v>-0.94119579953333277</v>
      </c>
      <c r="G146">
        <f t="shared" si="23"/>
        <v>3.7029999999999998</v>
      </c>
      <c r="H146">
        <f t="shared" si="27"/>
        <v>0.4836529444444444</v>
      </c>
      <c r="I146">
        <f t="shared" si="24"/>
        <v>19.920929999999998</v>
      </c>
    </row>
    <row r="147" spans="1:9" x14ac:dyDescent="0.3">
      <c r="A147">
        <f t="shared" si="28"/>
        <v>132</v>
      </c>
      <c r="B147">
        <f t="shared" si="20"/>
        <v>-0.39999999999999997</v>
      </c>
      <c r="C147">
        <f t="shared" si="21"/>
        <v>-4.255183999999999</v>
      </c>
      <c r="D147">
        <f t="shared" si="25"/>
        <v>-0.55577431022222201</v>
      </c>
      <c r="E147">
        <f t="shared" si="26"/>
        <v>-1.8996414238101984</v>
      </c>
      <c r="F147">
        <f t="shared" si="22"/>
        <v>-0.97088195377777742</v>
      </c>
      <c r="G147">
        <f t="shared" si="23"/>
        <v>3.7160000000000002</v>
      </c>
      <c r="H147">
        <f t="shared" si="27"/>
        <v>0.48535088888888883</v>
      </c>
      <c r="I147">
        <f t="shared" si="24"/>
        <v>19.927959999999999</v>
      </c>
    </row>
    <row r="148" spans="1:9" x14ac:dyDescent="0.3">
      <c r="A148">
        <f t="shared" si="28"/>
        <v>133</v>
      </c>
      <c r="B148">
        <f t="shared" si="20"/>
        <v>-0.40666666666666668</v>
      </c>
      <c r="C148">
        <f t="shared" si="21"/>
        <v>-4.3778959333333338</v>
      </c>
      <c r="D148">
        <f t="shared" si="25"/>
        <v>-0.5718018521814815</v>
      </c>
      <c r="E148">
        <f t="shared" si="26"/>
        <v>-1.9577736830959245</v>
      </c>
      <c r="F148">
        <f t="shared" si="22"/>
        <v>-1.0005925932518518</v>
      </c>
      <c r="G148">
        <f t="shared" si="23"/>
        <v>3.7290000000000001</v>
      </c>
      <c r="H148">
        <f t="shared" si="27"/>
        <v>0.48704883333333332</v>
      </c>
      <c r="I148">
        <f t="shared" si="24"/>
        <v>19.934989999999999</v>
      </c>
    </row>
    <row r="149" spans="1:9" x14ac:dyDescent="0.3">
      <c r="A149">
        <f t="shared" si="28"/>
        <v>134</v>
      </c>
      <c r="B149">
        <f t="shared" si="20"/>
        <v>-0.41333333333333333</v>
      </c>
      <c r="C149">
        <f t="shared" si="21"/>
        <v>-4.5007016000000002</v>
      </c>
      <c r="D149">
        <f t="shared" si="25"/>
        <v>-0.58784163675555556</v>
      </c>
      <c r="E149">
        <f t="shared" si="26"/>
        <v>-2.0159538505297987</v>
      </c>
      <c r="F149">
        <f t="shared" si="22"/>
        <v>-1.0303277179555557</v>
      </c>
      <c r="G149">
        <f t="shared" si="23"/>
        <v>3.742</v>
      </c>
      <c r="H149">
        <f t="shared" si="27"/>
        <v>0.4887467777777777</v>
      </c>
      <c r="I149">
        <f t="shared" si="24"/>
        <v>19.942019999999999</v>
      </c>
    </row>
    <row r="150" spans="1:9" x14ac:dyDescent="0.3">
      <c r="A150">
        <f t="shared" si="28"/>
        <v>135</v>
      </c>
      <c r="B150">
        <f t="shared" si="20"/>
        <v>-0.42</v>
      </c>
      <c r="C150">
        <f t="shared" si="21"/>
        <v>-4.6236009999999998</v>
      </c>
      <c r="D150">
        <f t="shared" si="25"/>
        <v>-0.60389366394444433</v>
      </c>
      <c r="E150">
        <f t="shared" si="26"/>
        <v>-2.07418192611182</v>
      </c>
      <c r="F150">
        <f t="shared" si="22"/>
        <v>-1.0600873278888887</v>
      </c>
      <c r="G150">
        <f t="shared" si="23"/>
        <v>3.7549999999999999</v>
      </c>
      <c r="H150">
        <f t="shared" si="27"/>
        <v>0.49044472222222218</v>
      </c>
      <c r="I150">
        <f t="shared" si="24"/>
        <v>19.94905</v>
      </c>
    </row>
    <row r="151" spans="1:9" x14ac:dyDescent="0.3">
      <c r="A151">
        <f t="shared" si="28"/>
        <v>136</v>
      </c>
      <c r="B151">
        <f t="shared" si="20"/>
        <v>-0.42666666666666664</v>
      </c>
      <c r="C151">
        <f t="shared" si="21"/>
        <v>-4.7465941333333328</v>
      </c>
      <c r="D151">
        <f t="shared" si="25"/>
        <v>-0.619957933748148</v>
      </c>
      <c r="E151">
        <f t="shared" si="26"/>
        <v>-2.1324579098419898</v>
      </c>
      <c r="F151">
        <f t="shared" si="22"/>
        <v>-1.0898714230518516</v>
      </c>
      <c r="G151">
        <f t="shared" si="23"/>
        <v>3.7679999999999998</v>
      </c>
      <c r="H151">
        <f t="shared" si="27"/>
        <v>0.49214266666666656</v>
      </c>
      <c r="I151">
        <f t="shared" si="24"/>
        <v>19.95608</v>
      </c>
    </row>
    <row r="152" spans="1:9" x14ac:dyDescent="0.3">
      <c r="A152">
        <f t="shared" si="28"/>
        <v>137</v>
      </c>
      <c r="B152">
        <f t="shared" si="20"/>
        <v>-0.43333333333333329</v>
      </c>
      <c r="C152">
        <f t="shared" si="21"/>
        <v>-4.8696809999999973</v>
      </c>
      <c r="D152">
        <f t="shared" si="25"/>
        <v>-0.63603444616666627</v>
      </c>
      <c r="E152">
        <f t="shared" si="26"/>
        <v>-2.1907818017203069</v>
      </c>
      <c r="F152">
        <f t="shared" si="22"/>
        <v>-1.1196800034444436</v>
      </c>
      <c r="G152">
        <f t="shared" si="23"/>
        <v>3.7809999999999997</v>
      </c>
      <c r="H152">
        <f t="shared" si="27"/>
        <v>0.49384061111111105</v>
      </c>
      <c r="I152">
        <f t="shared" si="24"/>
        <v>19.963109999999997</v>
      </c>
    </row>
    <row r="153" spans="1:9" x14ac:dyDescent="0.3">
      <c r="A153">
        <f t="shared" si="28"/>
        <v>138</v>
      </c>
      <c r="B153">
        <f t="shared" si="20"/>
        <v>-0.44</v>
      </c>
      <c r="C153">
        <f t="shared" si="21"/>
        <v>-4.9928616000000003</v>
      </c>
      <c r="D153">
        <f t="shared" si="25"/>
        <v>-0.6521232012</v>
      </c>
      <c r="E153">
        <f t="shared" si="26"/>
        <v>-2.2491536017467744</v>
      </c>
      <c r="F153">
        <f t="shared" si="22"/>
        <v>-1.1495130690666666</v>
      </c>
      <c r="G153">
        <f t="shared" si="23"/>
        <v>3.7939999999999996</v>
      </c>
      <c r="H153">
        <f t="shared" si="27"/>
        <v>0.49553855555555543</v>
      </c>
      <c r="I153">
        <f t="shared" si="24"/>
        <v>19.970140000000001</v>
      </c>
    </row>
    <row r="154" spans="1:9" x14ac:dyDescent="0.3">
      <c r="A154">
        <f t="shared" si="28"/>
        <v>139</v>
      </c>
      <c r="B154">
        <f t="shared" si="20"/>
        <v>-0.44666666666666666</v>
      </c>
      <c r="C154">
        <f t="shared" si="21"/>
        <v>-5.1161359333333341</v>
      </c>
      <c r="D154">
        <f t="shared" si="25"/>
        <v>-0.66822419884814821</v>
      </c>
      <c r="E154">
        <f t="shared" si="26"/>
        <v>-2.3075733099213895</v>
      </c>
      <c r="F154">
        <f t="shared" si="22"/>
        <v>-1.1793706199185188</v>
      </c>
      <c r="G154">
        <f t="shared" si="23"/>
        <v>3.8069999999999999</v>
      </c>
      <c r="H154">
        <f t="shared" si="27"/>
        <v>0.49723649999999991</v>
      </c>
      <c r="I154">
        <f t="shared" si="24"/>
        <v>19.977170000000001</v>
      </c>
    </row>
    <row r="155" spans="1:9" x14ac:dyDescent="0.3">
      <c r="A155">
        <f t="shared" si="28"/>
        <v>140</v>
      </c>
      <c r="B155">
        <f t="shared" si="20"/>
        <v>-0.45333333333333331</v>
      </c>
      <c r="C155">
        <f t="shared" si="21"/>
        <v>-5.2395040000000002</v>
      </c>
      <c r="D155">
        <f t="shared" si="25"/>
        <v>-0.684337439111111</v>
      </c>
      <c r="E155">
        <f t="shared" si="26"/>
        <v>-2.3660409262441511</v>
      </c>
      <c r="F155">
        <f t="shared" si="22"/>
        <v>-1.2092526559999996</v>
      </c>
      <c r="G155">
        <f t="shared" si="23"/>
        <v>3.82</v>
      </c>
      <c r="H155">
        <f t="shared" si="27"/>
        <v>0.4989344444444444</v>
      </c>
      <c r="I155">
        <f t="shared" si="24"/>
        <v>19.984200000000001</v>
      </c>
    </row>
    <row r="156" spans="1:9" x14ac:dyDescent="0.3">
      <c r="A156">
        <f t="shared" si="28"/>
        <v>141</v>
      </c>
      <c r="B156">
        <f t="shared" si="20"/>
        <v>-0.45999999999999996</v>
      </c>
      <c r="C156">
        <f t="shared" si="21"/>
        <v>-5.3629657999999996</v>
      </c>
      <c r="D156">
        <f t="shared" si="25"/>
        <v>-0.70046292198888882</v>
      </c>
      <c r="E156">
        <f t="shared" si="26"/>
        <v>-2.4245564507150621</v>
      </c>
      <c r="F156">
        <f t="shared" si="22"/>
        <v>-1.239159177311111</v>
      </c>
      <c r="G156">
        <f t="shared" si="23"/>
        <v>3.8330000000000002</v>
      </c>
      <c r="H156">
        <f t="shared" si="27"/>
        <v>0.50063238888888884</v>
      </c>
      <c r="I156">
        <f t="shared" si="24"/>
        <v>19.991230000000002</v>
      </c>
    </row>
    <row r="157" spans="1:9" x14ac:dyDescent="0.3">
      <c r="A157">
        <f t="shared" si="28"/>
        <v>142</v>
      </c>
      <c r="B157">
        <f t="shared" si="20"/>
        <v>-0.46666666666666667</v>
      </c>
      <c r="C157">
        <f t="shared" si="21"/>
        <v>-5.486521333333334</v>
      </c>
      <c r="D157">
        <f t="shared" si="25"/>
        <v>-0.71660064748148156</v>
      </c>
      <c r="E157">
        <f t="shared" si="26"/>
        <v>-2.4831198833341213</v>
      </c>
      <c r="F157">
        <f t="shared" si="22"/>
        <v>-1.269090183851852</v>
      </c>
      <c r="G157">
        <f t="shared" si="23"/>
        <v>3.8460000000000001</v>
      </c>
      <c r="H157">
        <f t="shared" si="27"/>
        <v>0.50233033333333332</v>
      </c>
      <c r="I157">
        <f t="shared" si="24"/>
        <v>19.998260000000002</v>
      </c>
    </row>
    <row r="158" spans="1:9" x14ac:dyDescent="0.3">
      <c r="A158">
        <f t="shared" si="28"/>
        <v>143</v>
      </c>
      <c r="B158">
        <f t="shared" si="20"/>
        <v>-0.47333333333333333</v>
      </c>
      <c r="C158">
        <f t="shared" si="21"/>
        <v>-5.6101706</v>
      </c>
      <c r="D158">
        <f t="shared" si="25"/>
        <v>-0.73275061558888877</v>
      </c>
      <c r="E158">
        <f t="shared" si="26"/>
        <v>-2.5417312241013281</v>
      </c>
      <c r="F158">
        <f t="shared" si="22"/>
        <v>-1.2990456756222222</v>
      </c>
      <c r="G158">
        <f t="shared" si="23"/>
        <v>3.859</v>
      </c>
      <c r="H158">
        <f t="shared" si="27"/>
        <v>0.5040282777777777</v>
      </c>
      <c r="I158">
        <f t="shared" si="24"/>
        <v>20.005289999999999</v>
      </c>
    </row>
    <row r="159" spans="1:9" x14ac:dyDescent="0.3">
      <c r="A159">
        <f t="shared" si="28"/>
        <v>144</v>
      </c>
      <c r="B159">
        <f t="shared" si="20"/>
        <v>-0.48</v>
      </c>
      <c r="C159">
        <f t="shared" si="21"/>
        <v>-5.7339135999999993</v>
      </c>
      <c r="D159">
        <f t="shared" si="25"/>
        <v>-0.74891282631111089</v>
      </c>
      <c r="E159">
        <f t="shared" si="26"/>
        <v>-2.6003904730166827</v>
      </c>
      <c r="F159">
        <f t="shared" si="22"/>
        <v>-1.3290256526222217</v>
      </c>
      <c r="G159">
        <f t="shared" si="23"/>
        <v>3.8719999999999999</v>
      </c>
      <c r="H159">
        <f t="shared" si="27"/>
        <v>0.50572622222222219</v>
      </c>
      <c r="I159">
        <f t="shared" si="24"/>
        <v>20.012319999999999</v>
      </c>
    </row>
    <row r="160" spans="1:9" x14ac:dyDescent="0.3">
      <c r="A160">
        <f t="shared" si="28"/>
        <v>145</v>
      </c>
      <c r="B160">
        <f t="shared" si="20"/>
        <v>-0.48666666666666664</v>
      </c>
      <c r="C160">
        <f t="shared" si="21"/>
        <v>-5.8577503333333318</v>
      </c>
      <c r="D160">
        <f t="shared" si="25"/>
        <v>-0.76508727964814793</v>
      </c>
      <c r="E160">
        <f t="shared" si="26"/>
        <v>-2.6590976300801858</v>
      </c>
      <c r="F160">
        <f t="shared" si="22"/>
        <v>-1.3590301148518513</v>
      </c>
      <c r="G160">
        <f t="shared" si="23"/>
        <v>3.8849999999999998</v>
      </c>
      <c r="H160">
        <f t="shared" si="27"/>
        <v>0.50742416666666657</v>
      </c>
      <c r="I160">
        <f t="shared" si="24"/>
        <v>20.019349999999999</v>
      </c>
    </row>
    <row r="161" spans="1:9" x14ac:dyDescent="0.3">
      <c r="A161">
        <f t="shared" si="28"/>
        <v>146</v>
      </c>
      <c r="B161">
        <f t="shared" si="20"/>
        <v>-0.49333333333333329</v>
      </c>
      <c r="C161">
        <f t="shared" si="21"/>
        <v>-5.9816807999999995</v>
      </c>
      <c r="D161">
        <f t="shared" si="25"/>
        <v>-0.78127397559999989</v>
      </c>
      <c r="E161">
        <f t="shared" si="26"/>
        <v>-2.7178526952918376</v>
      </c>
      <c r="F161">
        <f t="shared" si="22"/>
        <v>-1.3890590623111108</v>
      </c>
      <c r="G161">
        <f t="shared" si="23"/>
        <v>3.8979999999999997</v>
      </c>
      <c r="H161">
        <f t="shared" si="27"/>
        <v>0.50912211111111105</v>
      </c>
      <c r="I161">
        <f t="shared" si="24"/>
        <v>20.02638</v>
      </c>
    </row>
    <row r="162" spans="1:9" x14ac:dyDescent="0.3">
      <c r="A162">
        <f t="shared" si="28"/>
        <v>147</v>
      </c>
      <c r="B162">
        <f t="shared" si="20"/>
        <v>-0.49999999999999989</v>
      </c>
      <c r="C162">
        <f t="shared" si="21"/>
        <v>-6.1057049999999986</v>
      </c>
      <c r="D162">
        <f t="shared" si="25"/>
        <v>-0.79747291416666632</v>
      </c>
      <c r="E162">
        <f t="shared" si="26"/>
        <v>-2.7766556686516366</v>
      </c>
      <c r="F162">
        <f t="shared" si="22"/>
        <v>-1.4191124949999994</v>
      </c>
      <c r="G162">
        <f t="shared" si="23"/>
        <v>3.9109999999999996</v>
      </c>
      <c r="H162">
        <f t="shared" si="27"/>
        <v>0.51082005555555543</v>
      </c>
      <c r="I162">
        <f t="shared" si="24"/>
        <v>20.03341</v>
      </c>
    </row>
    <row r="163" spans="1:9" x14ac:dyDescent="0.3">
      <c r="A163">
        <f t="shared" si="28"/>
        <v>148</v>
      </c>
      <c r="B163">
        <f t="shared" si="20"/>
        <v>-0.5066666666666666</v>
      </c>
      <c r="C163">
        <f t="shared" si="21"/>
        <v>-6.229822933333331</v>
      </c>
      <c r="D163">
        <f t="shared" si="25"/>
        <v>-0.81368409534814778</v>
      </c>
      <c r="E163">
        <f t="shared" si="26"/>
        <v>-2.8355065501595842</v>
      </c>
      <c r="F163">
        <f t="shared" si="22"/>
        <v>-1.4491904129185178</v>
      </c>
      <c r="G163">
        <f t="shared" si="23"/>
        <v>3.9239999999999999</v>
      </c>
      <c r="H163">
        <f t="shared" si="27"/>
        <v>0.51251799999999992</v>
      </c>
      <c r="I163">
        <f t="shared" si="24"/>
        <v>20.040439999999997</v>
      </c>
    </row>
    <row r="164" spans="1:9" x14ac:dyDescent="0.3">
      <c r="A164">
        <f t="shared" si="28"/>
        <v>149</v>
      </c>
      <c r="B164">
        <f t="shared" ref="B164:B165" si="29">(1-A164/B$10)*B$9</f>
        <v>-0.51333333333333342</v>
      </c>
      <c r="C164">
        <f t="shared" ref="C164:C165" si="30">B164*I164+G164</f>
        <v>-6.3540346000000003</v>
      </c>
      <c r="D164">
        <f t="shared" si="25"/>
        <v>-0.82990751914444438</v>
      </c>
      <c r="E164">
        <f t="shared" si="26"/>
        <v>-2.8944053398156808</v>
      </c>
      <c r="F164">
        <f t="shared" ref="F164:F165" si="31">(B164*$B$8-D164*$D$8)/-$C$8</f>
        <v>-1.4792928160666665</v>
      </c>
      <c r="G164">
        <f t="shared" ref="G164:G165" si="32">$D$3*(1+$D$4*A164)</f>
        <v>3.9369999999999998</v>
      </c>
      <c r="H164">
        <f t="shared" si="27"/>
        <v>0.5142159444444443</v>
      </c>
      <c r="I164">
        <f t="shared" ref="I164:I165" si="33">$D$1*(1+$D$2*A164)</f>
        <v>20.047469999999997</v>
      </c>
    </row>
    <row r="165" spans="1:9" x14ac:dyDescent="0.3">
      <c r="A165">
        <f t="shared" si="28"/>
        <v>150</v>
      </c>
      <c r="B165">
        <f t="shared" si="29"/>
        <v>-0.52</v>
      </c>
      <c r="C165">
        <f t="shared" si="30"/>
        <v>-6.4783400000000002</v>
      </c>
      <c r="D165">
        <f t="shared" si="25"/>
        <v>-0.84614318555555557</v>
      </c>
      <c r="E165">
        <f t="shared" si="26"/>
        <v>-2.953352037619926</v>
      </c>
      <c r="F165">
        <f t="shared" si="31"/>
        <v>-1.5094197044444446</v>
      </c>
      <c r="G165">
        <f t="shared" si="32"/>
        <v>3.95</v>
      </c>
      <c r="H165">
        <f t="shared" si="27"/>
        <v>0.51591388888888889</v>
      </c>
      <c r="I165">
        <f t="shared" si="33"/>
        <v>20.054500000000001</v>
      </c>
    </row>
    <row r="166" spans="1:9" x14ac:dyDescent="0.3">
      <c r="A166">
        <f t="shared" si="28"/>
        <v>151</v>
      </c>
      <c r="B166">
        <f t="shared" ref="B166:B167" si="34">(1-A166/B$10)*B$9</f>
        <v>-0.52666666666666673</v>
      </c>
      <c r="C166">
        <f t="shared" ref="C166:C167" si="35">B166*I166+G166</f>
        <v>-6.6027391333333343</v>
      </c>
      <c r="D166">
        <f t="shared" si="25"/>
        <v>-0.86239109458148155</v>
      </c>
      <c r="E166">
        <f t="shared" si="26"/>
        <v>-3.0123466435723176</v>
      </c>
      <c r="F166">
        <f t="shared" ref="F166:F167" si="36">(B166*$B$8-D166*$D$8)/-$C$8</f>
        <v>-1.5395710780518519</v>
      </c>
      <c r="G166">
        <f t="shared" ref="G166:G167" si="37">$D$3*(1+$D$4*A166)</f>
        <v>3.9630000000000001</v>
      </c>
      <c r="H166">
        <f t="shared" si="27"/>
        <v>0.51761183333333327</v>
      </c>
      <c r="I166">
        <f t="shared" ref="I166:I167" si="38">$D$1*(1+$D$2*A166)</f>
        <v>20.061530000000001</v>
      </c>
    </row>
    <row r="167" spans="1:9" x14ac:dyDescent="0.3">
      <c r="A167">
        <f t="shared" si="28"/>
        <v>152</v>
      </c>
      <c r="B167">
        <f t="shared" si="34"/>
        <v>-0.53333333333333333</v>
      </c>
      <c r="C167">
        <f t="shared" si="35"/>
        <v>-6.7272319999999999</v>
      </c>
      <c r="D167">
        <f t="shared" si="25"/>
        <v>-0.87865124622222213</v>
      </c>
      <c r="E167">
        <f t="shared" si="26"/>
        <v>-3.0713891576728574</v>
      </c>
      <c r="F167">
        <f t="shared" si="36"/>
        <v>-1.5697469368888886</v>
      </c>
      <c r="G167">
        <f t="shared" si="37"/>
        <v>3.976</v>
      </c>
      <c r="H167">
        <f t="shared" si="27"/>
        <v>0.51930977777777765</v>
      </c>
      <c r="I167">
        <f t="shared" si="38"/>
        <v>20.068560000000002</v>
      </c>
    </row>
    <row r="170" spans="1:9" x14ac:dyDescent="0.3">
      <c r="A170" s="5" t="s">
        <v>325</v>
      </c>
    </row>
    <row r="171" spans="1:9" x14ac:dyDescent="0.3">
      <c r="A171">
        <v>0</v>
      </c>
      <c r="E171">
        <v>5.4</v>
      </c>
      <c r="F171">
        <f>$B$7*E171/$C$7</f>
        <v>2.7598695652173912</v>
      </c>
    </row>
    <row r="172" spans="1:9" x14ac:dyDescent="0.3">
      <c r="A172" s="51">
        <v>2.62</v>
      </c>
      <c r="B172" s="51">
        <v>0.47484181769795097</v>
      </c>
    </row>
    <row r="173" spans="1:9" x14ac:dyDescent="0.3">
      <c r="A173" s="51">
        <v>17.670000000000002</v>
      </c>
      <c r="B173" s="51">
        <v>0.36996518631566899</v>
      </c>
    </row>
    <row r="174" spans="1:9" x14ac:dyDescent="0.3">
      <c r="A174" s="51">
        <v>31.44</v>
      </c>
      <c r="B174" s="51">
        <v>0.27382890784964298</v>
      </c>
    </row>
    <row r="175" spans="1:9" x14ac:dyDescent="0.3">
      <c r="A175" s="51">
        <v>42.64</v>
      </c>
      <c r="B175" s="51">
        <v>0.195173335216132</v>
      </c>
    </row>
    <row r="176" spans="1:9" x14ac:dyDescent="0.3">
      <c r="A176" s="51">
        <v>60.08</v>
      </c>
      <c r="B176" s="51">
        <v>8.1000000000000003E-2</v>
      </c>
    </row>
    <row r="178" spans="1:8" x14ac:dyDescent="0.3">
      <c r="A178" s="5" t="s">
        <v>326</v>
      </c>
    </row>
    <row r="179" spans="1:8" x14ac:dyDescent="0.3">
      <c r="A179" s="51">
        <v>0</v>
      </c>
      <c r="G179">
        <v>2</v>
      </c>
      <c r="H179">
        <f t="shared" ref="H179" si="39">G179/$D$7*$B$7</f>
        <v>0.26122222222222219</v>
      </c>
    </row>
    <row r="180" spans="1:8" x14ac:dyDescent="0.3">
      <c r="A180" s="51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490"/>
  <sheetViews>
    <sheetView topLeftCell="A314" zoomScale="94" zoomScaleNormal="94" workbookViewId="0">
      <selection activeCell="L339" sqref="L339"/>
    </sheetView>
  </sheetViews>
  <sheetFormatPr defaultRowHeight="14.4" x14ac:dyDescent="0.3"/>
  <cols>
    <col min="5" max="5" width="8.77734375" customWidth="1"/>
    <col min="9" max="11" width="8.77734375" customWidth="1"/>
    <col min="12" max="12" width="8.6640625" customWidth="1"/>
    <col min="13" max="17" width="9" customWidth="1"/>
    <col min="18" max="18" width="9.21875" customWidth="1"/>
    <col min="19" max="19" width="12.88671875" customWidth="1"/>
    <col min="31" max="31" width="8.88671875" style="7"/>
    <col min="42" max="42" width="8.88671875" style="7"/>
  </cols>
  <sheetData>
    <row r="1" spans="1:42" s="5" customFormat="1" x14ac:dyDescent="0.3">
      <c r="A1" s="5" t="s">
        <v>329</v>
      </c>
      <c r="AE1" s="41"/>
      <c r="AP1" s="41"/>
    </row>
    <row r="3" spans="1:42" ht="15.6" x14ac:dyDescent="0.35">
      <c r="A3" s="31" t="s">
        <v>274</v>
      </c>
      <c r="B3" s="32"/>
      <c r="C3" s="32" t="s">
        <v>246</v>
      </c>
      <c r="D3" s="4">
        <v>19</v>
      </c>
      <c r="E3" s="32" t="s">
        <v>249</v>
      </c>
      <c r="F3" s="32">
        <f>D3*B11/D11</f>
        <v>2.481611111111111</v>
      </c>
      <c r="G3" s="32" t="s">
        <v>43</v>
      </c>
      <c r="H3" s="32"/>
      <c r="I3" s="31" t="s">
        <v>186</v>
      </c>
      <c r="J3" s="32"/>
      <c r="K3" s="32"/>
      <c r="L3" s="32"/>
      <c r="M3" s="4" t="s">
        <v>230</v>
      </c>
      <c r="N3" s="4"/>
      <c r="O3" s="4"/>
      <c r="P3" s="32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16"/>
      <c r="AF3" s="26"/>
      <c r="AG3" s="26"/>
    </row>
    <row r="4" spans="1:42" ht="15.6" x14ac:dyDescent="0.35">
      <c r="A4" s="32"/>
      <c r="B4" s="32"/>
      <c r="C4" s="32" t="s">
        <v>232</v>
      </c>
      <c r="D4" s="4">
        <v>3.6999999999999999E-4</v>
      </c>
      <c r="E4" s="32" t="s">
        <v>250</v>
      </c>
      <c r="F4" s="32"/>
      <c r="G4" s="32"/>
      <c r="H4" s="32"/>
      <c r="I4" s="32" t="s">
        <v>111</v>
      </c>
      <c r="J4" s="32">
        <v>1</v>
      </c>
      <c r="K4" s="32"/>
      <c r="L4" s="32"/>
      <c r="M4" s="4" t="s">
        <v>228</v>
      </c>
      <c r="N4" s="4"/>
      <c r="O4" s="4"/>
      <c r="P4" s="32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16"/>
      <c r="AF4" s="26"/>
      <c r="AG4" s="26"/>
    </row>
    <row r="5" spans="1:42" ht="15.6" x14ac:dyDescent="0.35">
      <c r="A5" s="32"/>
      <c r="B5" s="32"/>
      <c r="C5" s="32" t="s">
        <v>247</v>
      </c>
      <c r="D5" s="4">
        <v>2</v>
      </c>
      <c r="E5" s="32" t="s">
        <v>251</v>
      </c>
      <c r="F5" s="32">
        <f>D5*B11/D11</f>
        <v>0.26122222222222219</v>
      </c>
      <c r="G5" s="32" t="s">
        <v>15</v>
      </c>
      <c r="H5" s="32"/>
      <c r="I5" s="32" t="s">
        <v>113</v>
      </c>
      <c r="J5" s="4">
        <v>1.73</v>
      </c>
      <c r="K5" s="32"/>
      <c r="L5" s="32"/>
      <c r="M5" s="4" t="s">
        <v>229</v>
      </c>
      <c r="N5" s="4"/>
      <c r="O5" s="4"/>
      <c r="P5" s="32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16"/>
      <c r="AF5" s="26"/>
      <c r="AG5" s="26"/>
    </row>
    <row r="6" spans="1:42" ht="15.6" x14ac:dyDescent="0.35">
      <c r="A6" s="32"/>
      <c r="B6" s="32"/>
      <c r="C6" s="32" t="s">
        <v>233</v>
      </c>
      <c r="D6" s="4">
        <v>6.4999999999999997E-3</v>
      </c>
      <c r="E6" s="32" t="s">
        <v>250</v>
      </c>
      <c r="F6" s="32"/>
      <c r="G6" s="32"/>
      <c r="H6" s="32"/>
      <c r="I6" s="32" t="s">
        <v>115</v>
      </c>
      <c r="J6" s="4">
        <v>0.41</v>
      </c>
      <c r="K6" s="32"/>
      <c r="L6" s="32"/>
      <c r="M6" s="32"/>
      <c r="N6" s="32"/>
      <c r="O6" s="32"/>
      <c r="P6" s="32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16"/>
      <c r="AF6" s="26"/>
      <c r="AG6" s="26"/>
    </row>
    <row r="7" spans="1:42" ht="15.6" x14ac:dyDescent="0.35">
      <c r="A7" s="32"/>
      <c r="B7" s="32"/>
      <c r="C7" s="32" t="s">
        <v>56</v>
      </c>
      <c r="D7" s="4">
        <v>0.5</v>
      </c>
      <c r="E7" s="32" t="s">
        <v>257</v>
      </c>
      <c r="F7" s="32">
        <f>D7/D11</f>
        <v>2.7777777777777779E-3</v>
      </c>
      <c r="G7" s="32" t="s">
        <v>2</v>
      </c>
      <c r="H7" s="32"/>
      <c r="I7" s="32" t="s">
        <v>114</v>
      </c>
      <c r="J7" s="4">
        <v>0.23</v>
      </c>
      <c r="K7" s="32"/>
      <c r="L7" s="32"/>
      <c r="M7" s="32"/>
      <c r="N7" s="32"/>
      <c r="O7" s="32"/>
      <c r="P7" s="32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16"/>
      <c r="AF7" s="26"/>
      <c r="AG7" s="26"/>
    </row>
    <row r="8" spans="1:42" ht="15.6" x14ac:dyDescent="0.35">
      <c r="A8" s="32"/>
      <c r="B8" s="32"/>
      <c r="C8" s="32" t="s">
        <v>277</v>
      </c>
      <c r="D8" s="4">
        <v>72</v>
      </c>
      <c r="E8" s="32" t="s">
        <v>252</v>
      </c>
      <c r="F8" s="32">
        <f>D8/C11</f>
        <v>1.5652173913043479</v>
      </c>
      <c r="G8" s="32" t="s">
        <v>2</v>
      </c>
      <c r="H8" s="32"/>
      <c r="I8" s="32"/>
      <c r="J8" s="32"/>
      <c r="K8" s="32"/>
      <c r="L8" s="32"/>
      <c r="M8" s="32"/>
      <c r="N8" s="32"/>
      <c r="O8" s="32"/>
      <c r="P8" s="32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16"/>
      <c r="AF8" s="26"/>
      <c r="AG8" s="26"/>
    </row>
    <row r="9" spans="1:42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16"/>
      <c r="AF9" s="26"/>
      <c r="AG9" s="26"/>
    </row>
    <row r="10" spans="1:42" s="2" customFormat="1" x14ac:dyDescent="0.3">
      <c r="A10" s="33"/>
      <c r="B10" s="33" t="s">
        <v>266</v>
      </c>
      <c r="C10" s="33" t="s">
        <v>267</v>
      </c>
      <c r="D10" s="33" t="s">
        <v>268</v>
      </c>
      <c r="E10" s="33" t="s">
        <v>262</v>
      </c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16"/>
      <c r="AF10" s="30"/>
      <c r="AG10" s="30"/>
      <c r="AP10" s="7"/>
    </row>
    <row r="11" spans="1:42" x14ac:dyDescent="0.3">
      <c r="A11" s="32" t="s">
        <v>185</v>
      </c>
      <c r="B11" s="32">
        <f>J4*12+J5+J6*16+J7*14</f>
        <v>23.509999999999998</v>
      </c>
      <c r="C11" s="32">
        <v>46</v>
      </c>
      <c r="D11" s="32">
        <v>180</v>
      </c>
      <c r="E11" s="32" t="s">
        <v>263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16"/>
      <c r="AF11" s="26"/>
      <c r="AG11" s="26"/>
    </row>
    <row r="12" spans="1:42" ht="15.6" x14ac:dyDescent="0.35">
      <c r="A12" s="32" t="s">
        <v>260</v>
      </c>
      <c r="B12" s="32">
        <f>J4*4+J5-2*J6-3*J7</f>
        <v>4.22</v>
      </c>
      <c r="C12" s="32">
        <v>12</v>
      </c>
      <c r="D12" s="32">
        <v>24</v>
      </c>
      <c r="E12" s="32" t="s">
        <v>261</v>
      </c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16"/>
      <c r="AF12" s="26"/>
      <c r="AG12" s="26"/>
    </row>
    <row r="13" spans="1:42" x14ac:dyDescent="0.3">
      <c r="A13" s="32" t="s">
        <v>187</v>
      </c>
      <c r="B13" s="4">
        <v>0.48</v>
      </c>
      <c r="C13" s="32"/>
      <c r="D13" s="32">
        <f>B13*D3+D5</f>
        <v>11.12</v>
      </c>
      <c r="E13" s="32" t="s">
        <v>265</v>
      </c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16"/>
      <c r="AF13" s="26"/>
      <c r="AG13" s="26"/>
    </row>
    <row r="14" spans="1:42" x14ac:dyDescent="0.3">
      <c r="A14" s="32" t="s">
        <v>192</v>
      </c>
      <c r="B14" s="32">
        <f>B13</f>
        <v>0.48</v>
      </c>
      <c r="C14" s="32">
        <f>(B14*$B$12+D14*$D$12)/-$C$12</f>
        <v>2.7359911111111104</v>
      </c>
      <c r="D14" s="32">
        <f>-D13/D11*B11</f>
        <v>-1.4523955555555552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16"/>
      <c r="AF14" s="26"/>
      <c r="AG14" s="26"/>
    </row>
    <row r="17" spans="1:132" x14ac:dyDescent="0.3">
      <c r="A17" s="34" t="s">
        <v>275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AG17" s="5"/>
    </row>
    <row r="18" spans="1:132" ht="15.6" x14ac:dyDescent="0.35">
      <c r="A18" s="35" t="s">
        <v>258</v>
      </c>
      <c r="B18" s="35">
        <f>'Figure 4'!B20</f>
        <v>0.54722222222222228</v>
      </c>
      <c r="C18" s="35" t="s">
        <v>2</v>
      </c>
      <c r="D18" s="35"/>
      <c r="E18" s="35"/>
      <c r="F18" s="35"/>
      <c r="G18" s="35"/>
      <c r="H18" s="35"/>
      <c r="I18" s="35" t="s">
        <v>259</v>
      </c>
      <c r="J18" s="35">
        <v>1E-3</v>
      </c>
      <c r="K18" s="35" t="s">
        <v>2</v>
      </c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</row>
    <row r="20" spans="1:132" s="2" customFormat="1" x14ac:dyDescent="0.3">
      <c r="A20" s="29" t="s">
        <v>55</v>
      </c>
      <c r="F20" s="37" t="s">
        <v>57</v>
      </c>
      <c r="G20" s="29"/>
      <c r="H20" s="29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</row>
    <row r="21" spans="1:132" x14ac:dyDescent="0.3">
      <c r="A21" t="s">
        <v>253</v>
      </c>
      <c r="B21" t="s">
        <v>60</v>
      </c>
      <c r="C21" t="s">
        <v>59</v>
      </c>
      <c r="D21" t="s">
        <v>61</v>
      </c>
      <c r="F21" s="38" t="s">
        <v>253</v>
      </c>
      <c r="G21" t="s">
        <v>63</v>
      </c>
      <c r="H21" t="s">
        <v>62</v>
      </c>
      <c r="I21" t="s">
        <v>64</v>
      </c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</row>
    <row r="22" spans="1:132" x14ac:dyDescent="0.3">
      <c r="A22" t="s">
        <v>65</v>
      </c>
      <c r="B22" t="s">
        <v>254</v>
      </c>
      <c r="C22" t="s">
        <v>255</v>
      </c>
      <c r="D22" t="s">
        <v>256</v>
      </c>
      <c r="F22" s="38" t="s">
        <v>65</v>
      </c>
      <c r="G22" s="16" t="s">
        <v>254</v>
      </c>
      <c r="H22" t="s">
        <v>255</v>
      </c>
      <c r="I22" t="s">
        <v>256</v>
      </c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F22" s="16"/>
      <c r="AG22" s="7"/>
      <c r="AH22" s="7"/>
      <c r="AI22" s="7"/>
      <c r="AJ22" s="7"/>
      <c r="AK22" s="7"/>
      <c r="AL22" s="7"/>
      <c r="AM22" s="7"/>
      <c r="AN22" s="7"/>
      <c r="AO22" s="7"/>
      <c r="AQ22" s="16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16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16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16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16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16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16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16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</row>
    <row r="23" spans="1:132" s="2" customFormat="1" x14ac:dyDescent="0.3">
      <c r="A23" s="2" t="s">
        <v>66</v>
      </c>
      <c r="B23" s="2" t="s">
        <v>2</v>
      </c>
      <c r="C23" s="2" t="s">
        <v>2</v>
      </c>
      <c r="D23" s="2" t="s">
        <v>23</v>
      </c>
      <c r="F23" s="39" t="s">
        <v>66</v>
      </c>
      <c r="G23" s="2" t="s">
        <v>2</v>
      </c>
      <c r="H23" s="2" t="s">
        <v>2</v>
      </c>
      <c r="I23" s="2" t="s">
        <v>2</v>
      </c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</row>
    <row r="24" spans="1:132" x14ac:dyDescent="0.3">
      <c r="A24">
        <v>0</v>
      </c>
      <c r="B24">
        <v>1E-3</v>
      </c>
      <c r="C24">
        <v>0.54722000000000004</v>
      </c>
      <c r="D24">
        <v>0</v>
      </c>
      <c r="F24">
        <v>0</v>
      </c>
      <c r="G24">
        <v>1E-3</v>
      </c>
      <c r="H24">
        <v>0.54220000000000002</v>
      </c>
      <c r="I24">
        <v>0</v>
      </c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</row>
    <row r="25" spans="1:132" x14ac:dyDescent="0.3">
      <c r="A25">
        <v>3.1394887688818509E-4</v>
      </c>
      <c r="B25">
        <v>1.0001497863939303E-3</v>
      </c>
      <c r="C25">
        <v>0.54721954626763103</v>
      </c>
      <c r="D25">
        <v>8.5478985621176575E-7</v>
      </c>
      <c r="F25">
        <v>3.1437518189920857E-4</v>
      </c>
      <c r="G25">
        <v>1.0001499811804133E-3</v>
      </c>
      <c r="H25">
        <v>0.54219954567284101</v>
      </c>
      <c r="I25">
        <v>8.5591093618013003E-7</v>
      </c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</row>
    <row r="26" spans="1:132" x14ac:dyDescent="0.3">
      <c r="A26">
        <v>6.2789775377637019E-4</v>
      </c>
      <c r="B26">
        <v>1.0002995946762482E-3</v>
      </c>
      <c r="C26">
        <v>0.54721909246895739</v>
      </c>
      <c r="D26">
        <v>1.7097046242645713E-6</v>
      </c>
      <c r="F26">
        <v>6.2875036379841714E-4</v>
      </c>
      <c r="G26">
        <v>1.0002999842259855E-3</v>
      </c>
      <c r="H26">
        <v>0.54219909127938259</v>
      </c>
      <c r="I26">
        <v>1.7119467818356116E-6</v>
      </c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</row>
    <row r="27" spans="1:132" x14ac:dyDescent="0.3">
      <c r="A27">
        <v>9.4184663066455528E-4</v>
      </c>
      <c r="B27">
        <v>1.0004494253115952E-3</v>
      </c>
      <c r="C27">
        <v>0.54721863860257158</v>
      </c>
      <c r="D27">
        <v>2.564746955758202E-6</v>
      </c>
      <c r="F27">
        <v>9.4312554569762571E-4</v>
      </c>
      <c r="G27">
        <v>1.0004500096008338E-3</v>
      </c>
      <c r="H27">
        <v>0.54219863681821767</v>
      </c>
      <c r="I27">
        <v>2.5681101883760599E-6</v>
      </c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</row>
    <row r="28" spans="1:132" x14ac:dyDescent="0.3">
      <c r="A28">
        <v>2.308354036891946E-3</v>
      </c>
      <c r="B28">
        <v>1.0011018276651273E-3</v>
      </c>
      <c r="C28">
        <v>0.54721666234786059</v>
      </c>
      <c r="D28">
        <v>6.2878282168585577E-6</v>
      </c>
      <c r="F28">
        <v>2.3115212195532068E-3</v>
      </c>
      <c r="G28">
        <v>1.0011032749491899E-3</v>
      </c>
      <c r="H28">
        <v>0.54219665792738225</v>
      </c>
      <c r="I28">
        <v>6.2961602116704729E-6</v>
      </c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</row>
    <row r="29" spans="1:132" x14ac:dyDescent="0.3">
      <c r="A29">
        <v>3.6748614431193365E-3</v>
      </c>
      <c r="B29">
        <v>1.0017546460846514E-3</v>
      </c>
      <c r="C29">
        <v>0.54721468483279623</v>
      </c>
      <c r="D29">
        <v>1.0013283868011124E-5</v>
      </c>
      <c r="F29">
        <v>3.679916893408788E-3</v>
      </c>
      <c r="G29">
        <v>1.0017569559383438E-3</v>
      </c>
      <c r="H29">
        <v>0.54219467777624186</v>
      </c>
      <c r="I29">
        <v>1.0026584678078441E-5</v>
      </c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</row>
    <row r="30" spans="1:132" x14ac:dyDescent="0.3">
      <c r="A30">
        <v>5.0413688493467276E-3</v>
      </c>
      <c r="B30">
        <v>1.0024078874137983E-3</v>
      </c>
      <c r="C30">
        <v>0.54721270603664773</v>
      </c>
      <c r="D30">
        <v>1.3741152964216024E-5</v>
      </c>
      <c r="F30">
        <v>5.0483125672643693E-3</v>
      </c>
      <c r="G30">
        <v>1.002411059402256E-3</v>
      </c>
      <c r="H30">
        <v>0.54219269634407297</v>
      </c>
      <c r="I30">
        <v>1.3759422631272144E-5</v>
      </c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</row>
    <row r="31" spans="1:132" x14ac:dyDescent="0.3">
      <c r="A31">
        <v>6.4078762555741181E-3</v>
      </c>
      <c r="B31">
        <v>1.0030615542514791E-3</v>
      </c>
      <c r="C31">
        <v>0.54721072595154241</v>
      </c>
      <c r="D31">
        <v>1.7471450336864617E-5</v>
      </c>
      <c r="F31">
        <v>6.4167082411199505E-3</v>
      </c>
      <c r="G31">
        <v>1.0030655879344522E-3</v>
      </c>
      <c r="H31">
        <v>0.54219071362300975</v>
      </c>
      <c r="I31">
        <v>1.7494688890652465E-5</v>
      </c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</row>
    <row r="32" spans="1:132" x14ac:dyDescent="0.3">
      <c r="A32">
        <v>1.0317070004513464E-2</v>
      </c>
      <c r="B32">
        <v>1.0049338674532093E-3</v>
      </c>
      <c r="C32">
        <v>0.54720505434744926</v>
      </c>
      <c r="D32">
        <v>2.8156228380399511E-5</v>
      </c>
      <c r="F32">
        <v>1.0332359283636895E-2</v>
      </c>
      <c r="G32">
        <v>1.0049408696972554E-3</v>
      </c>
      <c r="H32">
        <v>0.54218503294591469</v>
      </c>
      <c r="I32">
        <v>2.8196568994177047E-5</v>
      </c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</row>
    <row r="33" spans="1:132" x14ac:dyDescent="0.3">
      <c r="A33">
        <v>1.422626375345281E-2</v>
      </c>
      <c r="B33">
        <v>1.006809675490784E-3</v>
      </c>
      <c r="C33">
        <v>0.54719937215674685</v>
      </c>
      <c r="D33">
        <v>3.8860950625203668E-5</v>
      </c>
      <c r="F33">
        <v>1.4248010326153839E-2</v>
      </c>
      <c r="G33">
        <v>1.0068196444774856E-3</v>
      </c>
      <c r="H33">
        <v>0.54217934167722037</v>
      </c>
      <c r="I33">
        <v>3.89184039182295E-5</v>
      </c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</row>
    <row r="34" spans="1:132" x14ac:dyDescent="0.3">
      <c r="A34">
        <v>1.8135457502392156E-2</v>
      </c>
      <c r="B34">
        <v>1.0086889848076428E-3</v>
      </c>
      <c r="C34">
        <v>0.54719367935991636</v>
      </c>
      <c r="D34">
        <v>4.9585653842941114E-5</v>
      </c>
      <c r="F34">
        <v>1.8163661368670782E-2</v>
      </c>
      <c r="G34">
        <v>1.0087019186549588E-3</v>
      </c>
      <c r="H34">
        <v>0.54217363979754396</v>
      </c>
      <c r="I34">
        <v>4.9660230185382042E-5</v>
      </c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</row>
    <row r="35" spans="1:132" x14ac:dyDescent="0.3">
      <c r="A35">
        <v>2.2044651251331503E-2</v>
      </c>
      <c r="B35">
        <v>1.010571801919052E-3</v>
      </c>
      <c r="C35">
        <v>0.54718797593722146</v>
      </c>
      <c r="D35">
        <v>6.0330375215193775E-5</v>
      </c>
      <c r="F35">
        <v>2.2079312411187726E-2</v>
      </c>
      <c r="G35">
        <v>1.010587698679101E-3</v>
      </c>
      <c r="H35">
        <v>0.5421679272872898</v>
      </c>
      <c r="I35">
        <v>6.0422084718552945E-5</v>
      </c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</row>
    <row r="36" spans="1:132" x14ac:dyDescent="0.3">
      <c r="A36">
        <v>4.1712110837326219E-2</v>
      </c>
      <c r="B36">
        <v>1.0200978514497559E-3</v>
      </c>
      <c r="C36">
        <v>0.54715911966187281</v>
      </c>
      <c r="D36">
        <v>1.1469293182762241E-4</v>
      </c>
      <c r="F36">
        <v>4.1895969148116413E-2</v>
      </c>
      <c r="G36">
        <v>1.0201854135873244E-3</v>
      </c>
      <c r="H36">
        <v>0.54213885319011779</v>
      </c>
      <c r="I36">
        <v>1.1519508265315447E-4</v>
      </c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</row>
    <row r="37" spans="1:132" x14ac:dyDescent="0.3">
      <c r="A37">
        <v>6.1379570423320935E-2</v>
      </c>
      <c r="B37">
        <v>1.0297136921803333E-3</v>
      </c>
      <c r="C37">
        <v>0.54712999138962082</v>
      </c>
      <c r="D37">
        <v>1.695679056748494E-4</v>
      </c>
      <c r="F37">
        <v>6.17126258850451E-2</v>
      </c>
      <c r="G37">
        <v>1.0298739314806662E-3</v>
      </c>
      <c r="H37">
        <v>0.54210950375004419</v>
      </c>
      <c r="I37">
        <v>1.7048683400788426E-4</v>
      </c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</row>
    <row r="38" spans="1:132" x14ac:dyDescent="0.3">
      <c r="A38">
        <v>8.1047030009315651E-2</v>
      </c>
      <c r="B38">
        <v>1.0394201715034266E-3</v>
      </c>
      <c r="C38">
        <v>0.54710058855349752</v>
      </c>
      <c r="D38">
        <v>2.2496013269271133E-4</v>
      </c>
      <c r="F38">
        <v>8.1529282621973787E-2</v>
      </c>
      <c r="G38">
        <v>1.039654105919368E-3</v>
      </c>
      <c r="H38">
        <v>0.54207987637351962</v>
      </c>
      <c r="I38">
        <v>2.2630222571291074E-4</v>
      </c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</row>
    <row r="39" spans="1:132" x14ac:dyDescent="0.3">
      <c r="A39">
        <v>0.10071448959531037</v>
      </c>
      <c r="B39">
        <v>1.0492181444973095E-3</v>
      </c>
      <c r="C39">
        <v>0.54707090856325291</v>
      </c>
      <c r="D39">
        <v>2.8087449267900992E-4</v>
      </c>
      <c r="F39">
        <v>0.10134593935890247</v>
      </c>
      <c r="G39">
        <v>1.0495267980531863E-3</v>
      </c>
      <c r="H39">
        <v>0.54204996844382958</v>
      </c>
      <c r="I39">
        <v>2.8264618835921544E-4</v>
      </c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</row>
    <row r="40" spans="1:132" x14ac:dyDescent="0.3">
      <c r="A40">
        <v>0.1203819491813051</v>
      </c>
      <c r="B40">
        <v>1.0591084737292201E-3</v>
      </c>
      <c r="C40">
        <v>0.54704094880595022</v>
      </c>
      <c r="D40">
        <v>3.3731590817120814E-4</v>
      </c>
      <c r="F40">
        <v>0.12116259609583116</v>
      </c>
      <c r="G40">
        <v>1.0594928764174505E-3</v>
      </c>
      <c r="H40">
        <v>0.54201977732171092</v>
      </c>
      <c r="I40">
        <v>3.3952369503844205E-4</v>
      </c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</row>
    <row r="41" spans="1:132" x14ac:dyDescent="0.3">
      <c r="A41">
        <v>0.17366230158341595</v>
      </c>
      <c r="B41">
        <v>1.0863728756799866E-3</v>
      </c>
      <c r="C41">
        <v>0.54695835954729399</v>
      </c>
      <c r="D41">
        <v>4.9290644413104508E-4</v>
      </c>
      <c r="F41">
        <v>0.17449220354376152</v>
      </c>
      <c r="G41">
        <v>1.0867837509172605E-3</v>
      </c>
      <c r="H41">
        <v>0.54193710116140359</v>
      </c>
      <c r="I41">
        <v>4.9527872478725412E-4</v>
      </c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</row>
    <row r="42" spans="1:132" x14ac:dyDescent="0.3">
      <c r="A42">
        <v>0.22694265398552679</v>
      </c>
      <c r="B42">
        <v>1.1143391123336292E-3</v>
      </c>
      <c r="C42">
        <v>0.54687364427825313</v>
      </c>
      <c r="D42">
        <v>6.5250218898938426E-4</v>
      </c>
      <c r="F42">
        <v>0.22782181099169188</v>
      </c>
      <c r="G42">
        <v>1.1147747051824188E-3</v>
      </c>
      <c r="H42">
        <v>0.54185230186299704</v>
      </c>
      <c r="I42">
        <v>6.5503383601717591E-4</v>
      </c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</row>
    <row r="43" spans="1:132" x14ac:dyDescent="0.3">
      <c r="A43">
        <v>0.28022300638763764</v>
      </c>
      <c r="B43">
        <v>1.1430252472867395E-3</v>
      </c>
      <c r="C43">
        <v>0.54678674827949614</v>
      </c>
      <c r="D43">
        <v>8.1620622904486596E-4</v>
      </c>
      <c r="F43">
        <v>0.28115141843962221</v>
      </c>
      <c r="G43">
        <v>1.1434835457565379E-3</v>
      </c>
      <c r="H43">
        <v>0.54176532530461741</v>
      </c>
      <c r="I43">
        <v>8.18891010507711E-4</v>
      </c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</row>
    <row r="44" spans="1:132" x14ac:dyDescent="0.3">
      <c r="A44">
        <v>0.33350335878974846</v>
      </c>
      <c r="B44">
        <v>1.1724498112464189E-3</v>
      </c>
      <c r="C44">
        <v>0.54669761541665207</v>
      </c>
      <c r="D44">
        <v>9.8412431640699312E-4</v>
      </c>
      <c r="F44">
        <v>0.33448102588755257</v>
      </c>
      <c r="G44">
        <v>1.1729285264235523E-3</v>
      </c>
      <c r="H44">
        <v>0.54167611599873844</v>
      </c>
      <c r="I44">
        <v>9.8695480406444215E-4</v>
      </c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</row>
    <row r="45" spans="1:132" x14ac:dyDescent="0.3">
      <c r="A45">
        <v>0.38678371119185928</v>
      </c>
      <c r="B45">
        <v>1.2026318121497255E-3</v>
      </c>
      <c r="C45">
        <v>0.54660618810965367</v>
      </c>
      <c r="D45">
        <v>1.1563649267528782E-3</v>
      </c>
      <c r="F45">
        <v>0.38781063333548293</v>
      </c>
      <c r="G45">
        <v>1.203128357096041E-3</v>
      </c>
      <c r="H45">
        <v>0.54158461706465644</v>
      </c>
      <c r="I45">
        <v>1.1593323984418868E-3</v>
      </c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</row>
    <row r="46" spans="1:132" x14ac:dyDescent="0.3">
      <c r="A46">
        <v>0.4400640635939701</v>
      </c>
      <c r="B46">
        <v>1.2335907462745939E-3</v>
      </c>
      <c r="C46">
        <v>0.54651240729907535</v>
      </c>
      <c r="D46">
        <v>1.3330393227423164E-3</v>
      </c>
      <c r="F46">
        <v>0.4411402407834133</v>
      </c>
      <c r="G46">
        <v>1.2341022136552462E-3</v>
      </c>
      <c r="H46">
        <v>0.54149077019806369</v>
      </c>
      <c r="I46">
        <v>1.3361336587373342E-3</v>
      </c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</row>
    <row r="47" spans="1:132" x14ac:dyDescent="0.3">
      <c r="A47">
        <v>0.52286137965250024</v>
      </c>
      <c r="B47">
        <v>1.2832896858356103E-3</v>
      </c>
      <c r="C47">
        <v>0.54636185922203973</v>
      </c>
      <c r="D47">
        <v>1.6166580164014299E-3</v>
      </c>
      <c r="F47">
        <v>0.52448047621738592</v>
      </c>
      <c r="G47">
        <v>1.2841030993889914E-3</v>
      </c>
      <c r="H47">
        <v>0.54133926785108366</v>
      </c>
      <c r="I47">
        <v>1.6215547078809803E-3</v>
      </c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</row>
    <row r="48" spans="1:132" x14ac:dyDescent="0.3">
      <c r="A48">
        <v>0.60565869571103037</v>
      </c>
      <c r="B48">
        <v>1.334990805112982E-3</v>
      </c>
      <c r="C48">
        <v>0.54620524609108179</v>
      </c>
      <c r="D48">
        <v>1.9117027180380753E-3</v>
      </c>
      <c r="F48">
        <v>0.60782071165135854</v>
      </c>
      <c r="G48">
        <v>1.3361198290299736E-3</v>
      </c>
      <c r="H48">
        <v>0.54118164965778637</v>
      </c>
      <c r="I48">
        <v>1.9184985445518058E-3</v>
      </c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</row>
    <row r="49" spans="1:132" x14ac:dyDescent="0.3">
      <c r="A49">
        <v>0.68845601176956051</v>
      </c>
      <c r="B49">
        <v>1.3887747566416089E-3</v>
      </c>
      <c r="C49">
        <v>0.54604232358741367</v>
      </c>
      <c r="D49">
        <v>2.2186337024200802E-3</v>
      </c>
      <c r="F49">
        <v>0.69116094708533116</v>
      </c>
      <c r="G49">
        <v>1.3902328474152737E-3</v>
      </c>
      <c r="H49">
        <v>0.54101767090486608</v>
      </c>
      <c r="I49">
        <v>2.2274263055935902E-3</v>
      </c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</row>
    <row r="50" spans="1:132" x14ac:dyDescent="0.3">
      <c r="A50">
        <v>0.77125332782809064</v>
      </c>
      <c r="B50">
        <v>1.4447254421995149E-3</v>
      </c>
      <c r="C50">
        <v>0.5458728375490548</v>
      </c>
      <c r="D50">
        <v>2.5379297880498402E-3</v>
      </c>
      <c r="F50">
        <v>0.77450118251930378</v>
      </c>
      <c r="G50">
        <v>1.4465257423108564E-3</v>
      </c>
      <c r="H50">
        <v>0.54084707726371473</v>
      </c>
      <c r="I50">
        <v>2.5488172531914761E-3</v>
      </c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</row>
    <row r="51" spans="1:132" x14ac:dyDescent="0.3">
      <c r="A51">
        <v>0.85405064388662078</v>
      </c>
      <c r="B51">
        <v>1.5029301422488288E-3</v>
      </c>
      <c r="C51">
        <v>0.54569652357867793</v>
      </c>
      <c r="D51">
        <v>2.8700890759530834E-3</v>
      </c>
      <c r="F51">
        <v>0.8578414179532764</v>
      </c>
      <c r="G51">
        <v>1.5050853601592628E-3</v>
      </c>
      <c r="H51">
        <v>0.54066960443166223</v>
      </c>
      <c r="I51">
        <v>2.8831694516862905E-3</v>
      </c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</row>
    <row r="52" spans="1:132" x14ac:dyDescent="0.3">
      <c r="A52">
        <v>0.93684795994515091</v>
      </c>
      <c r="B52">
        <v>1.563479651600305E-3</v>
      </c>
      <c r="C52">
        <v>0.54551310663259711</v>
      </c>
      <c r="D52">
        <v>3.2156297239928676E-3</v>
      </c>
      <c r="F52">
        <v>0.94118165338724902</v>
      </c>
      <c r="G52">
        <v>1.5660019266401501E-3</v>
      </c>
      <c r="H52">
        <v>0.54048497775794591</v>
      </c>
      <c r="I52">
        <v>3.2310004732398674E-3</v>
      </c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</row>
    <row r="53" spans="1:132" x14ac:dyDescent="0.3">
      <c r="A53">
        <v>1.0196452760036812</v>
      </c>
      <c r="B53">
        <v>1.6264684214550517E-3</v>
      </c>
      <c r="C53">
        <v>0.54532230059043418</v>
      </c>
      <c r="D53">
        <v>3.5750907575863864E-3</v>
      </c>
      <c r="F53">
        <v>1.0245218888212215</v>
      </c>
      <c r="G53">
        <v>1.6293691721019983E-3</v>
      </c>
      <c r="H53">
        <v>0.54029291185418782</v>
      </c>
      <c r="I53">
        <v>3.5928481327684755E-3</v>
      </c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</row>
    <row r="54" spans="1:132" x14ac:dyDescent="0.3">
      <c r="A54">
        <v>1.1297158108341552</v>
      </c>
      <c r="B54">
        <v>1.7141517455642249E-3</v>
      </c>
      <c r="C54">
        <v>0.54505668949966035</v>
      </c>
      <c r="D54">
        <v>4.0754776368223007E-3</v>
      </c>
      <c r="F54">
        <v>1.1394164823405928</v>
      </c>
      <c r="G54">
        <v>1.7209271812483366E-3</v>
      </c>
      <c r="H54">
        <v>0.54001537878822814</v>
      </c>
      <c r="I54">
        <v>4.1157163648048826E-3</v>
      </c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</row>
    <row r="55" spans="1:132" x14ac:dyDescent="0.3">
      <c r="A55">
        <v>1.2397863456646292</v>
      </c>
      <c r="B55">
        <v>1.8065618081186089E-3</v>
      </c>
      <c r="C55">
        <v>0.54477675997478381</v>
      </c>
      <c r="D55">
        <v>4.6028391479105042E-3</v>
      </c>
      <c r="F55">
        <v>1.254311075859964</v>
      </c>
      <c r="G55">
        <v>1.8175954641803634E-3</v>
      </c>
      <c r="H55">
        <v>0.53972232829822686</v>
      </c>
      <c r="I55">
        <v>4.6678223319764692E-3</v>
      </c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</row>
    <row r="56" spans="1:132" x14ac:dyDescent="0.3">
      <c r="A56">
        <v>1.3498568804951032</v>
      </c>
      <c r="B56">
        <v>1.9039533790986927E-3</v>
      </c>
      <c r="C56">
        <v>0.54448174023837337</v>
      </c>
      <c r="D56">
        <v>5.158629251603499E-3</v>
      </c>
      <c r="F56">
        <v>1.3692056693793353</v>
      </c>
      <c r="G56">
        <v>1.9196552515562705E-3</v>
      </c>
      <c r="H56">
        <v>0.53941290327915892</v>
      </c>
      <c r="I56">
        <v>5.250781344885054E-3</v>
      </c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</row>
    <row r="57" spans="1:132" x14ac:dyDescent="0.3">
      <c r="A57">
        <v>1.4599274153255772</v>
      </c>
      <c r="B57">
        <v>2.0065949567669122E-3</v>
      </c>
      <c r="C57">
        <v>0.54417081692379354</v>
      </c>
      <c r="D57">
        <v>5.7443802592832436E-3</v>
      </c>
      <c r="F57">
        <v>1.4841002628987066</v>
      </c>
      <c r="G57">
        <v>2.0274027889602706E-3</v>
      </c>
      <c r="H57">
        <v>0.53908620049667666</v>
      </c>
      <c r="I57">
        <v>5.8662956925291509E-3</v>
      </c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</row>
    <row r="58" spans="1:132" x14ac:dyDescent="0.3">
      <c r="A58">
        <v>1.5699979501560513</v>
      </c>
      <c r="B58">
        <v>2.1147695080436144E-3</v>
      </c>
      <c r="C58">
        <v>0.54384313283204488</v>
      </c>
      <c r="D58">
        <v>6.3617070589147891E-3</v>
      </c>
      <c r="F58">
        <v>1.5989948564180778</v>
      </c>
      <c r="G58">
        <v>2.1411500860637014E-3</v>
      </c>
      <c r="H58">
        <v>0.53874126824135993</v>
      </c>
      <c r="I58">
        <v>6.5161590703478565E-3</v>
      </c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</row>
    <row r="59" spans="1:132" x14ac:dyDescent="0.3">
      <c r="A59">
        <v>1.6800684849865253</v>
      </c>
      <c r="B59">
        <v>2.2287752473020232E-3</v>
      </c>
      <c r="C59">
        <v>0.54349778457217934</v>
      </c>
      <c r="D59">
        <v>7.0123115603400454E-3</v>
      </c>
      <c r="F59">
        <v>1.7138894499374491</v>
      </c>
      <c r="G59">
        <v>2.2612256955361764E-3</v>
      </c>
      <c r="H59">
        <v>0.5383771038844084</v>
      </c>
      <c r="I59">
        <v>7.2022611949199141E-3</v>
      </c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</row>
    <row r="60" spans="1:132" x14ac:dyDescent="0.3">
      <c r="A60">
        <v>1.7901390198169993</v>
      </c>
      <c r="B60">
        <v>2.3489264566849684E-3</v>
      </c>
      <c r="C60">
        <v>0.54313382007588362</v>
      </c>
      <c r="D60">
        <v>7.6979873776317547E-3</v>
      </c>
      <c r="F60">
        <v>1.8287840434568203</v>
      </c>
      <c r="G60">
        <v>2.3879755230096543E-3</v>
      </c>
      <c r="H60">
        <v>0.53799265132964347</v>
      </c>
      <c r="I60">
        <v>7.92659261512162E-3</v>
      </c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</row>
    <row r="61" spans="1:132" x14ac:dyDescent="0.3">
      <c r="A61">
        <v>1.9002095546474733</v>
      </c>
      <c r="B61">
        <v>2.4755543511022632E-3</v>
      </c>
      <c r="C61">
        <v>0.54275023597665684</v>
      </c>
      <c r="D61">
        <v>8.4206247665486404E-3</v>
      </c>
      <c r="F61">
        <v>1.9441112116427992</v>
      </c>
      <c r="G61">
        <v>2.5222811546033808E-3</v>
      </c>
      <c r="H61">
        <v>0.53758522843570133</v>
      </c>
      <c r="I61">
        <v>8.6942075892288157E-3</v>
      </c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</row>
    <row r="62" spans="1:132" x14ac:dyDescent="0.3">
      <c r="A62">
        <v>2.0102800894779476</v>
      </c>
      <c r="B62">
        <v>2.6090079901743271E-3</v>
      </c>
      <c r="C62">
        <v>0.54234597484671043</v>
      </c>
      <c r="D62">
        <v>9.1822158300344028E-3</v>
      </c>
      <c r="F62">
        <v>2.0594383798287783</v>
      </c>
      <c r="G62">
        <v>2.6640657683916036E-3</v>
      </c>
      <c r="H62">
        <v>0.53715505913175265</v>
      </c>
      <c r="I62">
        <v>9.5046852746105987E-3</v>
      </c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</row>
    <row r="63" spans="1:132" x14ac:dyDescent="0.3">
      <c r="A63">
        <v>2.1203506243084216</v>
      </c>
      <c r="B63">
        <v>2.7496552391134015E-3</v>
      </c>
      <c r="C63">
        <v>0.54191992228555286</v>
      </c>
      <c r="D63">
        <v>9.9848600031392631E-3</v>
      </c>
      <c r="F63">
        <v>2.1747655480147574</v>
      </c>
      <c r="G63">
        <v>2.8137372010942356E-3</v>
      </c>
      <c r="H63">
        <v>0.53670089619364669</v>
      </c>
      <c r="I63">
        <v>1.0360376696988728E-2</v>
      </c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</row>
    <row r="64" spans="1:132" x14ac:dyDescent="0.3">
      <c r="A64">
        <v>2.2304211591388956</v>
      </c>
      <c r="B64">
        <v>2.8978837810013838E-3</v>
      </c>
      <c r="C64">
        <v>0.54147090385279995</v>
      </c>
      <c r="D64">
        <v>1.0830769831414396E-2</v>
      </c>
      <c r="F64">
        <v>2.2900927162007365</v>
      </c>
      <c r="G64">
        <v>2.9717245301518276E-3</v>
      </c>
      <c r="H64">
        <v>0.53622142663243277</v>
      </c>
      <c r="I64">
        <v>1.1263756942031387E-2</v>
      </c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</row>
    <row r="65" spans="1:132" x14ac:dyDescent="0.3">
      <c r="A65">
        <v>2.3404916939693696</v>
      </c>
      <c r="B65">
        <v>3.0541021834050472E-3</v>
      </c>
      <c r="C65">
        <v>0.54099768183629371</v>
      </c>
      <c r="D65">
        <v>1.1722277059581494E-2</v>
      </c>
      <c r="F65">
        <v>2.4054198843867156</v>
      </c>
      <c r="G65">
        <v>3.1384790636930782E-3</v>
      </c>
      <c r="H65">
        <v>0.53571526853096707</v>
      </c>
      <c r="I65">
        <v>1.2217431134001009E-2</v>
      </c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</row>
    <row r="66" spans="1:132" x14ac:dyDescent="0.3">
      <c r="A66">
        <v>2.4505622287998436</v>
      </c>
      <c r="B66">
        <v>3.2187410223965839E-3</v>
      </c>
      <c r="C66">
        <v>0.54049895184622465</v>
      </c>
      <c r="D66">
        <v>1.2661839048007599E-2</v>
      </c>
      <c r="F66">
        <v>2.5207470525726947</v>
      </c>
      <c r="G66">
        <v>3.3144753628774055E-3</v>
      </c>
      <c r="H66">
        <v>0.53518096776399904</v>
      </c>
      <c r="I66">
        <v>1.3224140636057417E-2</v>
      </c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</row>
    <row r="67" spans="1:132" x14ac:dyDescent="0.3">
      <c r="A67">
        <v>2.5606327636303177</v>
      </c>
      <c r="B67">
        <v>3.3922540670249289E-3</v>
      </c>
      <c r="C67">
        <v>0.53997333922601998</v>
      </c>
      <c r="D67">
        <v>1.3652045534389414E-2</v>
      </c>
      <c r="F67">
        <v>2.6360742207586738</v>
      </c>
      <c r="G67">
        <v>3.5002122959129894E-3</v>
      </c>
      <c r="H67">
        <v>0.5346169946018553</v>
      </c>
      <c r="I67">
        <v>1.4286769472227408E-2</v>
      </c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</row>
    <row r="68" spans="1:132" x14ac:dyDescent="0.3">
      <c r="A68">
        <v>2.6707032984607917</v>
      </c>
      <c r="B68">
        <v>3.5751195273810341E-3</v>
      </c>
      <c r="C68">
        <v>0.5394193952704629</v>
      </c>
      <c r="D68">
        <v>1.4695625758611755E-2</v>
      </c>
      <c r="F68">
        <v>2.7514013889446529</v>
      </c>
      <c r="G68">
        <v>3.6962141226613951E-3</v>
      </c>
      <c r="H68">
        <v>0.53402174019884496</v>
      </c>
      <c r="I68">
        <v>1.5408350969174854E-2</v>
      </c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</row>
    <row r="69" spans="1:132" x14ac:dyDescent="0.3">
      <c r="A69">
        <v>2.7807738332912657</v>
      </c>
      <c r="B69">
        <v>3.7678413696313881E-3</v>
      </c>
      <c r="C69">
        <v>0.5388355932408061</v>
      </c>
      <c r="D69">
        <v>1.5795455970067381E-2</v>
      </c>
      <c r="F69">
        <v>2.866728557130632</v>
      </c>
      <c r="G69">
        <v>3.9030316084232176E-3</v>
      </c>
      <c r="H69">
        <v>0.53339351296824644</v>
      </c>
      <c r="I69">
        <v>1.6592074614545704E-2</v>
      </c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</row>
    <row r="70" spans="1:132" x14ac:dyDescent="0.3">
      <c r="A70">
        <v>2.8908443681217397</v>
      </c>
      <c r="B70">
        <v>3.9709507016313615E-3</v>
      </c>
      <c r="C70">
        <v>0.53822032416592136</v>
      </c>
      <c r="D70">
        <v>1.695456733808345E-2</v>
      </c>
      <c r="F70">
        <v>2.9820557253166111</v>
      </c>
      <c r="G70">
        <v>4.121243165167288E-3</v>
      </c>
      <c r="H70">
        <v>0.53273053484648403</v>
      </c>
      <c r="I70">
        <v>1.7841293127282203E-2</v>
      </c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</row>
    <row r="71" spans="1:132" x14ac:dyDescent="0.3">
      <c r="A71">
        <v>3.0009149029522137</v>
      </c>
      <c r="B71">
        <v>4.185007232913463E-3</v>
      </c>
      <c r="C71">
        <v>0.53757189241797032</v>
      </c>
      <c r="D71">
        <v>1.8176154287151303E-2</v>
      </c>
      <c r="F71">
        <v>3.0973828935025902</v>
      </c>
      <c r="G71">
        <v>4.3514560180417852E-3</v>
      </c>
      <c r="H71">
        <v>0.53203093745012109</v>
      </c>
      <c r="I71">
        <v>1.9159529733413904E-2</v>
      </c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</row>
    <row r="72" spans="1:132" x14ac:dyDescent="0.3">
      <c r="A72">
        <v>3.1109854377826878</v>
      </c>
      <c r="B72">
        <v>4.4106008130134567E-3</v>
      </c>
      <c r="C72">
        <v>0.5368885110505689</v>
      </c>
      <c r="D72">
        <v>1.9463583279619095E-2</v>
      </c>
      <c r="F72">
        <v>3.2127100616885693</v>
      </c>
      <c r="G72">
        <v>4.5943073944949078E-3</v>
      </c>
      <c r="H72">
        <v>0.53129275813056431</v>
      </c>
      <c r="I72">
        <v>2.0550485638474839E-2</v>
      </c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</row>
    <row r="73" spans="1:132" x14ac:dyDescent="0.3">
      <c r="A73">
        <v>3.2210559726131618</v>
      </c>
      <c r="B73">
        <v>4.6483530522957407E-3</v>
      </c>
      <c r="C73">
        <v>0.53616829688681567</v>
      </c>
      <c r="D73">
        <v>2.0820402069644646E-2</v>
      </c>
      <c r="F73">
        <v>3.3284550080286519</v>
      </c>
      <c r="G73">
        <v>4.8514187093089117E-3</v>
      </c>
      <c r="H73">
        <v>0.53051103813530387</v>
      </c>
      <c r="I73">
        <v>2.2023508149952908E-2</v>
      </c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</row>
    <row r="74" spans="1:132" x14ac:dyDescent="0.3">
      <c r="A74">
        <v>3.3311265074436358</v>
      </c>
      <c r="B74">
        <v>4.8989190296695739E-3</v>
      </c>
      <c r="C74">
        <v>0.53540926534385347</v>
      </c>
      <c r="D74">
        <v>2.2250349453525886E-2</v>
      </c>
      <c r="F74">
        <v>3.4441999543687345</v>
      </c>
      <c r="G74">
        <v>5.1226421697446421E-3</v>
      </c>
      <c r="H74">
        <v>0.52968619302193953</v>
      </c>
      <c r="I74">
        <v>2.3577818126428261E-2</v>
      </c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</row>
    <row r="75" spans="1:132" x14ac:dyDescent="0.3">
      <c r="A75">
        <v>3.4411970422741098</v>
      </c>
      <c r="B75">
        <v>5.162989091827822E-3</v>
      </c>
      <c r="C75">
        <v>0.53460932497990199</v>
      </c>
      <c r="D75">
        <v>2.3757365542903287E-2</v>
      </c>
      <c r="F75">
        <v>3.5599449007088171</v>
      </c>
      <c r="G75">
        <v>5.4087205199706634E-3</v>
      </c>
      <c r="H75">
        <v>0.52881592739452332</v>
      </c>
      <c r="I75">
        <v>2.5217745161431233E-2</v>
      </c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</row>
    <row r="76" spans="1:132" x14ac:dyDescent="0.3">
      <c r="A76">
        <v>3.5512675771045839</v>
      </c>
      <c r="B76">
        <v>5.4412907488805545E-3</v>
      </c>
      <c r="C76">
        <v>0.53376627174896685</v>
      </c>
      <c r="D76">
        <v>2.5345602588710082E-2</v>
      </c>
      <c r="F76">
        <v>3.6756898470488997</v>
      </c>
      <c r="G76">
        <v>5.7104319326205704E-3</v>
      </c>
      <c r="H76">
        <v>0.52789783328954432</v>
      </c>
      <c r="I76">
        <v>2.6947831524607436E-2</v>
      </c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</row>
    <row r="77" spans="1:132" x14ac:dyDescent="0.3">
      <c r="A77">
        <v>3.6613381119350579</v>
      </c>
      <c r="B77">
        <v>5.7345906715044592E-3</v>
      </c>
      <c r="C77">
        <v>0.53287778294767352</v>
      </c>
      <c r="D77">
        <v>2.7019436385173935E-2</v>
      </c>
      <c r="F77">
        <v>3.7914347933889823</v>
      </c>
      <c r="G77">
        <v>6.0285912719038118E-3</v>
      </c>
      <c r="H77">
        <v>0.52692938576690407</v>
      </c>
      <c r="I77">
        <v>2.877284053557335E-2</v>
      </c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</row>
    <row r="78" spans="1:132" x14ac:dyDescent="0.3">
      <c r="A78">
        <v>3.7527527305482407</v>
      </c>
      <c r="B78">
        <v>5.9901577494171502E-3</v>
      </c>
      <c r="C78">
        <v>0.53210359627202464</v>
      </c>
      <c r="D78">
        <v>2.8477935314072299E-2</v>
      </c>
      <c r="F78">
        <v>3.9071797397290648</v>
      </c>
      <c r="G78">
        <v>6.3640513491256346E-3</v>
      </c>
      <c r="H78">
        <v>0.52590793846217543</v>
      </c>
      <c r="I78">
        <v>3.0697765017874259E-2</v>
      </c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</row>
    <row r="79" spans="1:132" x14ac:dyDescent="0.3">
      <c r="A79">
        <v>3.8441673491614234</v>
      </c>
      <c r="B79">
        <v>6.2571118230323464E-3</v>
      </c>
      <c r="C79">
        <v>0.53129491371078874</v>
      </c>
      <c r="D79">
        <v>3.0001421587322614E-2</v>
      </c>
      <c r="F79">
        <v>4.022924686069147</v>
      </c>
      <c r="G79">
        <v>6.7177041623920119E-3</v>
      </c>
      <c r="H79">
        <v>0.52483071911892121</v>
      </c>
      <c r="I79">
        <v>3.2727835798384002E-2</v>
      </c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</row>
    <row r="80" spans="1:132" x14ac:dyDescent="0.3">
      <c r="A80">
        <v>3.9355819677746062</v>
      </c>
      <c r="B80">
        <v>6.5359600103262888E-3</v>
      </c>
      <c r="C80">
        <v>0.53045019886516509</v>
      </c>
      <c r="D80">
        <v>3.1592789666038311E-2</v>
      </c>
      <c r="F80">
        <v>4.1712117916331595</v>
      </c>
      <c r="G80">
        <v>7.1988669234062724E-3</v>
      </c>
      <c r="H80">
        <v>0.52336448401439628</v>
      </c>
      <c r="I80">
        <v>3.5491097103143646E-2</v>
      </c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</row>
    <row r="81" spans="1:132" x14ac:dyDescent="0.3">
      <c r="A81">
        <v>4.0269965863877886</v>
      </c>
      <c r="B81">
        <v>6.8272319875019643E-3</v>
      </c>
      <c r="C81">
        <v>0.52956784697990489</v>
      </c>
      <c r="D81">
        <v>3.3255062791251754E-2</v>
      </c>
      <c r="F81">
        <v>4.3194988971971719</v>
      </c>
      <c r="G81">
        <v>7.7134852575262555E-3</v>
      </c>
      <c r="H81">
        <v>0.52179550263748764</v>
      </c>
      <c r="I81">
        <v>3.844808574279536E-2</v>
      </c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</row>
    <row r="82" spans="1:132" x14ac:dyDescent="0.3">
      <c r="A82">
        <v>4.1184112050009709</v>
      </c>
      <c r="B82">
        <v>7.1314809904420989E-3</v>
      </c>
      <c r="C82">
        <v>0.52864618190744561</v>
      </c>
      <c r="D82">
        <v>3.4991398703469748E-2</v>
      </c>
      <c r="F82">
        <v>4.4677860027611844</v>
      </c>
      <c r="G82">
        <v>8.2637358277115464E-3</v>
      </c>
      <c r="H82">
        <v>0.5201169683004202</v>
      </c>
      <c r="I82">
        <v>4.1611649633081664E-2</v>
      </c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</row>
    <row r="83" spans="1:132" x14ac:dyDescent="0.3">
      <c r="A83">
        <v>4.2098258236141533</v>
      </c>
      <c r="B83">
        <v>7.4492848627574866E-3</v>
      </c>
      <c r="C83">
        <v>0.52768345293065966</v>
      </c>
      <c r="D83">
        <v>3.6805095628610597E-2</v>
      </c>
      <c r="F83">
        <v>4.5864596279384342</v>
      </c>
      <c r="G83">
        <v>8.7313081827938548E-3</v>
      </c>
      <c r="H83">
        <v>0.51868989542217392</v>
      </c>
      <c r="I83">
        <v>4.4301365778037061E-2</v>
      </c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</row>
    <row r="84" spans="1:132" x14ac:dyDescent="0.3">
      <c r="A84">
        <v>4.3012404422273356</v>
      </c>
      <c r="B84">
        <v>7.7812471486044333E-3</v>
      </c>
      <c r="C84">
        <v>0.52667783144974356</v>
      </c>
      <c r="D84">
        <v>3.8699598519919998E-2</v>
      </c>
      <c r="F84">
        <v>4.705133253115684</v>
      </c>
      <c r="G84">
        <v>9.2244037179762591E-3</v>
      </c>
      <c r="H84">
        <v>0.51718417597121247</v>
      </c>
      <c r="I84">
        <v>4.713939941675413E-2</v>
      </c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</row>
    <row r="85" spans="1:132" x14ac:dyDescent="0.3">
      <c r="A85">
        <v>4.3926550608405179</v>
      </c>
      <c r="B85">
        <v>8.1279982318356436E-3</v>
      </c>
      <c r="C85">
        <v>0.52562740752848069</v>
      </c>
      <c r="D85">
        <v>4.0678505564842669E-2</v>
      </c>
      <c r="F85">
        <v>4.8238068782929338</v>
      </c>
      <c r="G85">
        <v>9.744307049786901E-3</v>
      </c>
      <c r="H85">
        <v>0.51559576132251816</v>
      </c>
      <c r="I85">
        <v>5.0133396042455973E-2</v>
      </c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</row>
    <row r="86" spans="1:132" x14ac:dyDescent="0.3">
      <c r="A86">
        <v>4.4840696794537003</v>
      </c>
      <c r="B86">
        <v>8.4901965252716788E-3</v>
      </c>
      <c r="C86">
        <v>0.52453018628837245</v>
      </c>
      <c r="D86">
        <v>4.2745574978534234E-2</v>
      </c>
      <c r="F86">
        <v>4.9424805034701835</v>
      </c>
      <c r="G86">
        <v>1.0292354808536779E-2</v>
      </c>
      <c r="H86">
        <v>0.51392042754358336</v>
      </c>
      <c r="I86">
        <v>5.3291333471831764E-2</v>
      </c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</row>
    <row r="87" spans="1:132" x14ac:dyDescent="0.3">
      <c r="A87">
        <v>4.5754842980668826</v>
      </c>
      <c r="B87">
        <v>8.8685297132208366E-3</v>
      </c>
      <c r="C87">
        <v>0.5233840841411237</v>
      </c>
      <c r="D87">
        <v>4.4904732101936309E-2</v>
      </c>
      <c r="F87">
        <v>5.0392778915193395</v>
      </c>
      <c r="G87">
        <v>1.0761179946056403E-2</v>
      </c>
      <c r="H87">
        <v>0.51248650780959004</v>
      </c>
      <c r="I87">
        <v>5.5994302766457268E-2</v>
      </c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</row>
    <row r="88" spans="1:132" x14ac:dyDescent="0.3">
      <c r="A88">
        <v>4.666898916680065</v>
      </c>
      <c r="B88">
        <v>9.263716049082122E-3</v>
      </c>
      <c r="C88">
        <v>0.52218692485389206</v>
      </c>
      <c r="D88">
        <v>4.716007681495496E-2</v>
      </c>
      <c r="F88">
        <v>5.1360752795684954</v>
      </c>
      <c r="G88">
        <v>1.1250432888044067E-2</v>
      </c>
      <c r="H88">
        <v>0.51098935574317683</v>
      </c>
      <c r="I88">
        <v>5.8816552948017999E-2</v>
      </c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</row>
    <row r="89" spans="1:132" x14ac:dyDescent="0.3">
      <c r="A89">
        <v>4.7583135352932473</v>
      </c>
      <c r="B89">
        <v>9.6765057097408808E-3</v>
      </c>
      <c r="C89">
        <v>0.52093643544208268</v>
      </c>
      <c r="D89">
        <v>4.9515891274575272E-2</v>
      </c>
      <c r="F89">
        <v>5.2328726676176514</v>
      </c>
      <c r="G89">
        <v>1.1760917119654183E-2</v>
      </c>
      <c r="H89">
        <v>0.50942641073161754</v>
      </c>
      <c r="I89">
        <v>6.1762922683020166E-2</v>
      </c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</row>
    <row r="90" spans="1:132" x14ac:dyDescent="0.3">
      <c r="A90">
        <v>4.8497281539064296</v>
      </c>
      <c r="B90">
        <v>1.0107682209154922E-2</v>
      </c>
      <c r="C90">
        <v>0.51963024188237994</v>
      </c>
      <c r="D90">
        <v>5.1976647991686838E-2</v>
      </c>
      <c r="F90">
        <v>5.3296700556668073</v>
      </c>
      <c r="G90">
        <v>1.2293459633743209E-2</v>
      </c>
      <c r="H90">
        <v>0.50779502963739942</v>
      </c>
      <c r="I90">
        <v>6.4838407420668265E-2</v>
      </c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</row>
    <row r="91" spans="1:132" x14ac:dyDescent="0.3">
      <c r="A91">
        <v>4.941142772519612</v>
      </c>
      <c r="B91">
        <v>1.0558063873985895E-2</v>
      </c>
      <c r="C91">
        <v>0.51826586463731583</v>
      </c>
      <c r="D91">
        <v>5.4547018263016223E-2</v>
      </c>
      <c r="F91">
        <v>5.4264674437159632</v>
      </c>
      <c r="G91">
        <v>1.2848910830260286E-2</v>
      </c>
      <c r="H91">
        <v>0.50609248615602531</v>
      </c>
      <c r="I91">
        <v>6.8048160712641206E-2</v>
      </c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</row>
    <row r="92" spans="1:132" x14ac:dyDescent="0.3">
      <c r="A92">
        <v>5.0325573911327943</v>
      </c>
      <c r="B92">
        <v>1.1028505384090519E-2</v>
      </c>
      <c r="C92">
        <v>0.51684071398279186</v>
      </c>
      <c r="D92">
        <v>5.7231880974344E-2</v>
      </c>
      <c r="F92">
        <v>5.5232648317651192</v>
      </c>
      <c r="G92">
        <v>1.3428144314363424E-2</v>
      </c>
      <c r="H92">
        <v>0.5043159704026754</v>
      </c>
      <c r="I92">
        <v>7.139749511076468E-2</v>
      </c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</row>
    <row r="93" spans="1:132" x14ac:dyDescent="0.3">
      <c r="A93">
        <v>5.1239720097459767</v>
      </c>
      <c r="B93">
        <v>1.1519899380554284E-2</v>
      </c>
      <c r="C93">
        <v>0.51535208513036423</v>
      </c>
      <c r="D93">
        <v>6.0036331790442814E-2</v>
      </c>
      <c r="F93">
        <v>5.6200622198142751</v>
      </c>
      <c r="G93">
        <v>1.4032056590517867E-2</v>
      </c>
      <c r="H93">
        <v>0.50246258874078531</v>
      </c>
      <c r="I93">
        <v>7.4891882617430502E-2</v>
      </c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</row>
    <row r="94" spans="1:132" x14ac:dyDescent="0.3">
      <c r="A94">
        <v>5.215386628359159</v>
      </c>
      <c r="B94">
        <v>1.2033178144029443E-2</v>
      </c>
      <c r="C94">
        <v>0.5137971531358545</v>
      </c>
      <c r="D94">
        <v>6.2965692747640176E-2</v>
      </c>
      <c r="F94">
        <v>5.7168596078634311</v>
      </c>
      <c r="G94">
        <v>1.466156664380338E-2</v>
      </c>
      <c r="H94">
        <v>0.50052936387701086</v>
      </c>
      <c r="I94">
        <v>7.8536954642907122E-2</v>
      </c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</row>
    <row r="95" spans="1:132" x14ac:dyDescent="0.3">
      <c r="A95">
        <v>5.3068012469723413</v>
      </c>
      <c r="B95">
        <v>1.2569315346356177E-2</v>
      </c>
      <c r="C95">
        <v>0.51217296758518205</v>
      </c>
      <c r="D95">
        <v>6.6025522266166856E-2</v>
      </c>
      <c r="F95">
        <v>5.813656995912587</v>
      </c>
      <c r="G95">
        <v>1.5317615394529933E-2</v>
      </c>
      <c r="H95">
        <v>0.49851323525674851</v>
      </c>
      <c r="I95">
        <v>8.2338501406092821E-2</v>
      </c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</row>
    <row r="96" spans="1:132" x14ac:dyDescent="0.3">
      <c r="A96">
        <v>5.3982158655855237</v>
      </c>
      <c r="B96">
        <v>1.3129327878619422E-2</v>
      </c>
      <c r="C96">
        <v>0.51047644704777773</v>
      </c>
      <c r="D96">
        <v>6.9221625600462841E-2</v>
      </c>
      <c r="F96">
        <v>5.8938336417946022</v>
      </c>
      <c r="G96">
        <v>1.588179713527595E-2</v>
      </c>
      <c r="H96">
        <v>0.49677827465086632</v>
      </c>
      <c r="I96">
        <v>8.5610018705694832E-2</v>
      </c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</row>
    <row r="97" spans="1:132" x14ac:dyDescent="0.3">
      <c r="A97">
        <v>5.489630484198706</v>
      </c>
      <c r="B97">
        <v>1.3714277758883437E-2</v>
      </c>
      <c r="C97">
        <v>0.50870437328765594</v>
      </c>
      <c r="D97">
        <v>7.2560065746146971E-2</v>
      </c>
      <c r="F97">
        <v>5.9740102876766175</v>
      </c>
      <c r="G97">
        <v>1.6465403454266801E-2</v>
      </c>
      <c r="H97">
        <v>0.49498245284856623</v>
      </c>
      <c r="I97">
        <v>8.8996427421449961E-2</v>
      </c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</row>
    <row r="98" spans="1:132" x14ac:dyDescent="0.3">
      <c r="A98">
        <v>5.5810451028118884</v>
      </c>
      <c r="B98">
        <v>1.4325274122924558E-2</v>
      </c>
      <c r="C98">
        <v>0.50685338522197121</v>
      </c>
      <c r="D98">
        <v>7.6047174822828745E-2</v>
      </c>
      <c r="F98">
        <v>6.0541869335586327</v>
      </c>
      <c r="G98">
        <v>1.7069000989706384E-2</v>
      </c>
      <c r="H98">
        <v>0.49312390361185598</v>
      </c>
      <c r="I98">
        <v>9.2501260761574222E-2</v>
      </c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</row>
    <row r="99" spans="1:132" x14ac:dyDescent="0.3">
      <c r="A99">
        <v>5.6724597214250707</v>
      </c>
      <c r="B99">
        <v>1.496347530139986E-2</v>
      </c>
      <c r="C99">
        <v>0.504919972616517</v>
      </c>
      <c r="D99">
        <v>7.9689565952639999E-2</v>
      </c>
      <c r="F99">
        <v>6.1343635794406479</v>
      </c>
      <c r="G99">
        <v>1.769316516977543E-2</v>
      </c>
      <c r="H99">
        <v>0.4912007236300765</v>
      </c>
      <c r="I99">
        <v>9.6128122988475645E-2</v>
      </c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</row>
    <row r="100" spans="1:132" x14ac:dyDescent="0.3">
      <c r="A100">
        <v>5.7638743400382531</v>
      </c>
      <c r="B100">
        <v>1.5630090987030658E-2</v>
      </c>
      <c r="C100">
        <v>0.50290046950717826</v>
      </c>
      <c r="D100">
        <v>8.3494145655203911E-2</v>
      </c>
      <c r="F100">
        <v>6.2145402253226631</v>
      </c>
      <c r="G100">
        <v>1.8338479712227049E-2</v>
      </c>
      <c r="H100">
        <v>0.48921097337406372</v>
      </c>
      <c r="I100">
        <v>9.9880687886405639E-2</v>
      </c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</row>
    <row r="101" spans="1:132" x14ac:dyDescent="0.3">
      <c r="A101">
        <v>5.8552889586514354</v>
      </c>
      <c r="B101">
        <v>1.6326384495512811E-2</v>
      </c>
      <c r="C101">
        <v>0.50079104733592705</v>
      </c>
      <c r="D101">
        <v>8.7468126780556793E-2</v>
      </c>
      <c r="F101">
        <v>6.2947168712046784</v>
      </c>
      <c r="G101">
        <v>1.9005536056936785E-2</v>
      </c>
      <c r="H101">
        <v>0.48715267811650254</v>
      </c>
      <c r="I101">
        <v>0.10376269692030501</v>
      </c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</row>
    <row r="102" spans="1:132" x14ac:dyDescent="0.3">
      <c r="A102">
        <v>5.9467035772646177</v>
      </c>
      <c r="B102">
        <v>1.7053675123984115E-2</v>
      </c>
      <c r="C102">
        <v>0.49858770778957018</v>
      </c>
      <c r="D102">
        <v>9.1619042002258122E-2</v>
      </c>
      <c r="F102">
        <v>6.3748935170866936</v>
      </c>
      <c r="G102">
        <v>1.9694932732735433E-2</v>
      </c>
      <c r="H102">
        <v>0.48502382911696701</v>
      </c>
      <c r="I102">
        <v>0.10777795708838683</v>
      </c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</row>
    <row r="103" spans="1:132" x14ac:dyDescent="0.3">
      <c r="A103">
        <v>6.0381181958778001</v>
      </c>
      <c r="B103">
        <v>1.781334061099734E-2</v>
      </c>
      <c r="C103">
        <v>0.49628627532907577</v>
      </c>
      <c r="D103">
        <v>9.5954757893647283E-2</v>
      </c>
      <c r="F103">
        <v>6.4550701629687088</v>
      </c>
      <c r="G103">
        <v>2.0407274655522011E-2</v>
      </c>
      <c r="H103">
        <v>0.48282238498036417</v>
      </c>
      <c r="I103">
        <v>0.11193033845207916</v>
      </c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</row>
    <row r="104" spans="1:132" x14ac:dyDescent="0.3">
      <c r="A104">
        <v>6.1141237950533895</v>
      </c>
      <c r="B104">
        <v>1.8470636448220643E-2</v>
      </c>
      <c r="C104">
        <v>0.49429496462899825</v>
      </c>
      <c r="D104">
        <v>9.9706230257712081E-2</v>
      </c>
      <c r="F104">
        <v>6.5352468088507241</v>
      </c>
      <c r="G104">
        <v>2.1143172351634931E-2</v>
      </c>
      <c r="H104">
        <v>0.48054627320466586</v>
      </c>
      <c r="I104">
        <v>0.11622377131367609</v>
      </c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</row>
    <row r="105" spans="1:132" x14ac:dyDescent="0.3">
      <c r="A105">
        <v>6.190129394228979</v>
      </c>
      <c r="B105">
        <v>1.9152166467908065E-2</v>
      </c>
      <c r="C105">
        <v>0.49223022480400225</v>
      </c>
      <c r="D105">
        <v>0.10359603851744732</v>
      </c>
      <c r="F105">
        <v>6.6154234547327393</v>
      </c>
      <c r="G105">
        <v>2.1903241101291351E-2</v>
      </c>
      <c r="H105">
        <v>0.47819339193200827</v>
      </c>
      <c r="I105">
        <v>0.12066224301536201</v>
      </c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</row>
    <row r="106" spans="1:132" x14ac:dyDescent="0.3">
      <c r="A106">
        <v>6.2661349934045685</v>
      </c>
      <c r="B106">
        <v>1.9858822542288962E-2</v>
      </c>
      <c r="C106">
        <v>0.49008935261721065</v>
      </c>
      <c r="D106">
        <v>0.10762927550487326</v>
      </c>
      <c r="F106">
        <v>6.6956001006147545</v>
      </c>
      <c r="G106">
        <v>2.2688099998765414E-2</v>
      </c>
      <c r="H106">
        <v>0.47576161191303268</v>
      </c>
      <c r="I106">
        <v>0.12524979434103475</v>
      </c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</row>
    <row r="107" spans="1:132" x14ac:dyDescent="0.3">
      <c r="A107">
        <v>6.3421405925801579</v>
      </c>
      <c r="B107">
        <v>2.0591529218291091E-2</v>
      </c>
      <c r="C107">
        <v>0.48786954571733265</v>
      </c>
      <c r="D107">
        <v>0.11181122079023516</v>
      </c>
      <c r="F107">
        <v>6.7757767464967698</v>
      </c>
      <c r="G107">
        <v>2.3498370926399906E-2</v>
      </c>
      <c r="H107">
        <v>0.47324877869346521</v>
      </c>
      <c r="I107">
        <v>0.12999051550395155</v>
      </c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</row>
    <row r="108" spans="1:132" x14ac:dyDescent="0.3">
      <c r="A108">
        <v>6.4181461917557474</v>
      </c>
      <c r="B108">
        <v>2.1351244900935373E-2</v>
      </c>
      <c r="C108">
        <v>0.48556789904141534</v>
      </c>
      <c r="D108">
        <v>0.11614734746033978</v>
      </c>
      <c r="F108">
        <v>6.855953392378785</v>
      </c>
      <c r="G108">
        <v>2.4334677438870949E-2</v>
      </c>
      <c r="H108">
        <v>0.47065271503361705</v>
      </c>
      <c r="I108">
        <v>0.13488854170009557</v>
      </c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</row>
    <row r="109" spans="1:132" x14ac:dyDescent="0.3">
      <c r="A109">
        <v>6.4941517909313369</v>
      </c>
      <c r="B109">
        <v>2.213896308045734E-2</v>
      </c>
      <c r="C109">
        <v>0.48318140108383956</v>
      </c>
      <c r="D109">
        <v>0.12064332914902608</v>
      </c>
      <c r="F109">
        <v>6.9361300382608002</v>
      </c>
      <c r="G109">
        <v>2.5197643553720128E-2</v>
      </c>
      <c r="H109">
        <v>0.46797122357255116</v>
      </c>
      <c r="I109">
        <v>0.13994804820517198</v>
      </c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</row>
    <row r="110" spans="1:132" x14ac:dyDescent="0.3">
      <c r="A110">
        <v>6.5701573901069263</v>
      </c>
      <c r="B110">
        <v>2.2955713600677812E-2</v>
      </c>
      <c r="C110">
        <v>0.4807069300390015</v>
      </c>
      <c r="D110">
        <v>0.12530504730575803</v>
      </c>
      <c r="F110">
        <v>7.0163066841428154</v>
      </c>
      <c r="G110">
        <v>2.6087892444458978E-2</v>
      </c>
      <c r="H110">
        <v>0.46520208974811939</v>
      </c>
      <c r="I110">
        <v>0.14517324499412568</v>
      </c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</row>
    <row r="111" spans="1:132" x14ac:dyDescent="0.3">
      <c r="A111">
        <v>6.6461629892825158</v>
      </c>
      <c r="B111">
        <v>2.3802563969482434E-2</v>
      </c>
      <c r="C111">
        <v>0.47814124981492778</v>
      </c>
      <c r="D111">
        <v>0.13013859870754246</v>
      </c>
      <c r="F111">
        <v>7.0964833300248307</v>
      </c>
      <c r="G111">
        <v>2.7006045033048875E-2</v>
      </c>
      <c r="H111">
        <v>0.46234308498304355</v>
      </c>
      <c r="I111">
        <v>0.15056837086395641</v>
      </c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</row>
    <row r="112" spans="1:132" x14ac:dyDescent="0.3">
      <c r="A112">
        <v>6.7221685884581053</v>
      </c>
      <c r="B112">
        <v>2.4680620714408196E-2</v>
      </c>
      <c r="C112">
        <v>0.47548100590852993</v>
      </c>
      <c r="D112">
        <v>0.13515030323170593</v>
      </c>
      <c r="F112">
        <v>7.1766599759068459</v>
      </c>
      <c r="G112">
        <v>2.7952718478848823E-2</v>
      </c>
      <c r="H112">
        <v>0.45939197014666222</v>
      </c>
      <c r="I112">
        <v>0.15613768704161268</v>
      </c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</row>
    <row r="113" spans="1:132" x14ac:dyDescent="0.3">
      <c r="A113">
        <v>6.7981741876336947</v>
      </c>
      <c r="B113">
        <v>2.559103078557801E-2</v>
      </c>
      <c r="C113">
        <v>0.47272272113548885</v>
      </c>
      <c r="D113">
        <v>0.14034671190275996</v>
      </c>
      <c r="F113">
        <v>7.2568366217888611</v>
      </c>
      <c r="G113">
        <v>2.8928524561268883E-2</v>
      </c>
      <c r="H113">
        <v>0.45634649930173893</v>
      </c>
      <c r="I113">
        <v>0.16188547025914143</v>
      </c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</row>
    <row r="114" spans="1:132" x14ac:dyDescent="0.3">
      <c r="A114">
        <v>6.8741797868092842</v>
      </c>
      <c r="B114">
        <v>2.6534983006836196E-2</v>
      </c>
      <c r="C114">
        <v>0.46986279121196961</v>
      </c>
      <c r="D114">
        <v>0.14573461521865599</v>
      </c>
      <c r="F114">
        <v>7.3370132676708764</v>
      </c>
      <c r="G114">
        <v>2.9934067953605408E-2</v>
      </c>
      <c r="H114">
        <v>0.45320442374528941</v>
      </c>
      <c r="I114">
        <v>0.16781600527906881</v>
      </c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</row>
    <row r="115" spans="1:132" x14ac:dyDescent="0.3">
      <c r="A115">
        <v>6.9501853859848737</v>
      </c>
      <c r="B115">
        <v>2.7513709575717658E-2</v>
      </c>
      <c r="C115">
        <v>0.46689748018600391</v>
      </c>
      <c r="D115">
        <v>0.15132105176053065</v>
      </c>
      <c r="F115">
        <v>7.4171899135528916</v>
      </c>
      <c r="G115">
        <v>3.0969944385939901E-2</v>
      </c>
      <c r="H115">
        <v>0.44996349635155275</v>
      </c>
      <c r="I115">
        <v>0.17393357685450442</v>
      </c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</row>
    <row r="116" spans="1:132" x14ac:dyDescent="0.3">
      <c r="A116">
        <v>7.0261909851604631</v>
      </c>
      <c r="B116">
        <v>2.8528487613463702E-2</v>
      </c>
      <c r="C116">
        <v>0.46382291571457579</v>
      </c>
      <c r="D116">
        <v>0.15711331709344623</v>
      </c>
      <c r="F116">
        <v>7.4973665594349068</v>
      </c>
      <c r="G116">
        <v>3.2036738695474846E-2</v>
      </c>
      <c r="H116">
        <v>0.44662147622419568</v>
      </c>
      <c r="I116">
        <v>0.18024246111036529</v>
      </c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</row>
    <row r="117" spans="1:132" x14ac:dyDescent="0.3">
      <c r="A117">
        <v>7.1021965843360526</v>
      </c>
      <c r="B117">
        <v>2.9580640766624564E-2</v>
      </c>
      <c r="C117">
        <v>0.46063508418140314</v>
      </c>
      <c r="D117">
        <v>0.16311897296759664</v>
      </c>
      <c r="F117">
        <v>7.577543205316922</v>
      </c>
      <c r="G117">
        <v>3.3135022763188797E-2</v>
      </c>
      <c r="H117">
        <v>0.44317613366374897</v>
      </c>
      <c r="I117">
        <v>0.18674691633411244</v>
      </c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</row>
    <row r="118" spans="1:132" x14ac:dyDescent="0.3">
      <c r="A118">
        <v>7.1782021835116421</v>
      </c>
      <c r="B118">
        <v>3.0671540861598887E-2</v>
      </c>
      <c r="C118">
        <v>0.45732982565094177</v>
      </c>
      <c r="D118">
        <v>0.16934585682845341</v>
      </c>
      <c r="F118">
        <v>7.6577198511989373</v>
      </c>
      <c r="G118">
        <v>3.426535333623229E-2</v>
      </c>
      <c r="H118">
        <v>0.43962525545510672</v>
      </c>
      <c r="I118">
        <v>0.19345117316654323</v>
      </c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</row>
    <row r="119" spans="1:132" x14ac:dyDescent="0.3">
      <c r="A119">
        <v>7.2542077826872315</v>
      </c>
      <c r="B119">
        <v>3.1802609613164751E-2</v>
      </c>
      <c r="C119">
        <v>0.45390282865498266</v>
      </c>
      <c r="D119">
        <v>0.17580209164273763</v>
      </c>
      <c r="F119">
        <v>7.7243795305053329</v>
      </c>
      <c r="G119">
        <v>3.5229907648196966E-2</v>
      </c>
      <c r="H119">
        <v>0.43659109684871417</v>
      </c>
      <c r="I119">
        <v>0.19918028877962082</v>
      </c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</row>
    <row r="120" spans="1:132" x14ac:dyDescent="0.3">
      <c r="A120">
        <v>7.330213381862821</v>
      </c>
      <c r="B120">
        <v>3.2975320387939294E-2</v>
      </c>
      <c r="C120">
        <v>0.45034962480850033</v>
      </c>
      <c r="D120">
        <v>0.18249609604657321</v>
      </c>
      <c r="F120">
        <v>7.7910392098117285</v>
      </c>
      <c r="G120">
        <v>3.6217286663852807E-2</v>
      </c>
      <c r="H120">
        <v>0.43348122759694724</v>
      </c>
      <c r="I120">
        <v>0.20505279899598242</v>
      </c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</row>
    <row r="121" spans="1:132" x14ac:dyDescent="0.3">
      <c r="A121">
        <v>7.4062189810384105</v>
      </c>
      <c r="B121">
        <v>3.4191200023729135E-2</v>
      </c>
      <c r="C121">
        <v>0.44666558325126621</v>
      </c>
      <c r="D121">
        <v>0.18943659482245537</v>
      </c>
      <c r="F121">
        <v>7.8576988891181241</v>
      </c>
      <c r="G121">
        <v>3.72277795351902E-2</v>
      </c>
      <c r="H121">
        <v>0.43029441880258662</v>
      </c>
      <c r="I121">
        <v>0.21107105992494998</v>
      </c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</row>
    <row r="122" spans="1:132" x14ac:dyDescent="0.3">
      <c r="A122">
        <v>7.4822245802139999</v>
      </c>
      <c r="B122">
        <v>3.5451830705652138E-2</v>
      </c>
      <c r="C122">
        <v>0.44284590491189185</v>
      </c>
      <c r="D122">
        <v>0.1966326297113945</v>
      </c>
      <c r="F122">
        <v>7.9243585684245197</v>
      </c>
      <c r="G122">
        <v>3.8261663915221344E-2</v>
      </c>
      <c r="H122">
        <v>0.42702946000721215</v>
      </c>
      <c r="I122">
        <v>0.21723739484205465</v>
      </c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</row>
    <row r="123" spans="1:132" x14ac:dyDescent="0.3">
      <c r="A123">
        <v>7.5582301793895894</v>
      </c>
      <c r="B123">
        <v>3.6758851899715304E-2</v>
      </c>
      <c r="C123">
        <v>0.43888561659145464</v>
      </c>
      <c r="D123">
        <v>0.20409357056569002</v>
      </c>
      <c r="F123">
        <v>7.9910182477309153</v>
      </c>
      <c r="G123">
        <v>3.9319204889553427E-2</v>
      </c>
      <c r="H123">
        <v>0.42368516188177652</v>
      </c>
      <c r="I123">
        <v>0.22355408918361905</v>
      </c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</row>
    <row r="124" spans="1:132" x14ac:dyDescent="0.3">
      <c r="A124">
        <v>7.6342357785651789</v>
      </c>
      <c r="B124">
        <v>3.8113962344289813E-2</v>
      </c>
      <c r="C124">
        <v>0.43477956486447528</v>
      </c>
      <c r="D124">
        <v>0.21182912684664013</v>
      </c>
      <c r="F124">
        <v>8.0576779270373109</v>
      </c>
      <c r="G124">
        <v>4.040065387064181E-2</v>
      </c>
      <c r="H124">
        <v>0.420260359029826</v>
      </c>
      <c r="I124">
        <v>0.23002338532917069</v>
      </c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</row>
    <row r="125" spans="1:132" x14ac:dyDescent="0.3">
      <c r="A125">
        <v>7.7102413777407683</v>
      </c>
      <c r="B125">
        <v>3.9518922099667647E-2</v>
      </c>
      <c r="C125">
        <v>0.43052240979564832</v>
      </c>
      <c r="D125">
        <v>0.21984935947031944</v>
      </c>
      <c r="F125">
        <v>8.1243376063437065</v>
      </c>
      <c r="G125">
        <v>4.150624746035337E-2</v>
      </c>
      <c r="H125">
        <v>0.41675391288929947</v>
      </c>
      <c r="I125">
        <v>0.23664747719784185</v>
      </c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</row>
    <row r="126" spans="1:132" x14ac:dyDescent="0.3">
      <c r="A126">
        <v>7.7862469769163578</v>
      </c>
      <c r="B126">
        <v>4.0975554655585181E-2</v>
      </c>
      <c r="C126">
        <v>0.42610861847145842</v>
      </c>
      <c r="D126">
        <v>0.22816469300320166</v>
      </c>
      <c r="F126">
        <v>8.1918603088993294</v>
      </c>
      <c r="G126">
        <v>4.2650996208473832E-2</v>
      </c>
      <c r="H126">
        <v>0.413117699047575</v>
      </c>
      <c r="I126">
        <v>0.24351733490486838</v>
      </c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</row>
    <row r="127" spans="1:132" x14ac:dyDescent="0.3">
      <c r="A127">
        <v>7.8622525760919473</v>
      </c>
      <c r="B127">
        <v>4.248574909621472E-2</v>
      </c>
      <c r="C127">
        <v>0.42153245834676711</v>
      </c>
      <c r="D127">
        <v>0.2367859282076295</v>
      </c>
      <c r="F127">
        <v>8.2593830114549522</v>
      </c>
      <c r="G127">
        <v>4.3820956464652921E-2</v>
      </c>
      <c r="H127">
        <v>0.40939545876493733</v>
      </c>
      <c r="I127">
        <v>0.25055037944672071</v>
      </c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</row>
    <row r="128" spans="1:132" x14ac:dyDescent="0.3">
      <c r="A128">
        <v>7.9382581752675367</v>
      </c>
      <c r="B128">
        <v>4.405146232163383E-2</v>
      </c>
      <c r="C128">
        <v>0.4167879904076946</v>
      </c>
      <c r="D128">
        <v>0.24572425493483549</v>
      </c>
      <c r="F128">
        <v>8.3269057140105751</v>
      </c>
      <c r="G128">
        <v>4.5016320170590263E-2</v>
      </c>
      <c r="H128">
        <v>0.40558611221396246</v>
      </c>
      <c r="I128">
        <v>0.25774870297874908</v>
      </c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</row>
    <row r="129" spans="1:132" x14ac:dyDescent="0.3">
      <c r="A129">
        <v>8.0142637744431262</v>
      </c>
      <c r="B129">
        <v>4.5674721324177436E-2</v>
      </c>
      <c r="C129">
        <v>0.41186906215364838</v>
      </c>
      <c r="D129">
        <v>0.25499126536036676</v>
      </c>
      <c r="F129">
        <v>8.394428416566198</v>
      </c>
      <c r="G129">
        <v>4.623725854348703E-2</v>
      </c>
      <c r="H129">
        <v>0.40168862113175213</v>
      </c>
      <c r="I129">
        <v>0.26511432181536759</v>
      </c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</row>
    <row r="130" spans="1:132" x14ac:dyDescent="0.3">
      <c r="A130">
        <v>8.0902693736187157</v>
      </c>
      <c r="B130">
        <v>4.7357625517338395E-2</v>
      </c>
      <c r="C130">
        <v>0.40676930040322679</v>
      </c>
      <c r="D130">
        <v>0.26459896755328172</v>
      </c>
      <c r="F130">
        <v>8.4619511191218209</v>
      </c>
      <c r="G130">
        <v>4.7483920715645493E-2</v>
      </c>
      <c r="H130">
        <v>0.39770199241004528</v>
      </c>
      <c r="I130">
        <v>0.27264916972823883</v>
      </c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</row>
    <row r="131" spans="1:132" x14ac:dyDescent="0.3">
      <c r="A131">
        <v>8.1662749727943051</v>
      </c>
      <c r="B131">
        <v>4.9102349113972037E-2</v>
      </c>
      <c r="C131">
        <v>0.40148210393103551</v>
      </c>
      <c r="D131">
        <v>0.27455979936618152</v>
      </c>
      <c r="F131">
        <v>8.5294738216774437</v>
      </c>
      <c r="G131">
        <v>4.8756432352768948E-2</v>
      </c>
      <c r="H131">
        <v>0.39362528176844913</v>
      </c>
      <c r="I131">
        <v>0.28035509108570933</v>
      </c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</row>
    <row r="132" spans="1:132" x14ac:dyDescent="0.3">
      <c r="A132">
        <v>8.2422805719698946</v>
      </c>
      <c r="B132">
        <v>5.0911143549430021E-2</v>
      </c>
      <c r="C132">
        <v>0.39600063594533519</v>
      </c>
      <c r="D132">
        <v>0.28488664262777952</v>
      </c>
      <c r="F132">
        <v>8.5969965242330666</v>
      </c>
      <c r="G132">
        <v>5.0054894254089682E-2</v>
      </c>
      <c r="H132">
        <v>0.38945759750472908</v>
      </c>
      <c r="I132">
        <v>0.28823383384451828</v>
      </c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</row>
    <row r="133" spans="1:132" x14ac:dyDescent="0.3">
      <c r="A133">
        <v>8.3182861711454841</v>
      </c>
      <c r="B133">
        <v>5.2786339943843526E-2</v>
      </c>
      <c r="C133">
        <v>0.39031781642002578</v>
      </c>
      <c r="D133">
        <v>0.29559283761302957</v>
      </c>
      <c r="F133">
        <v>8.6680715455718698</v>
      </c>
      <c r="G133">
        <v>5.1449782791465032E-2</v>
      </c>
      <c r="H133">
        <v>0.3849714585576216</v>
      </c>
      <c r="I133">
        <v>0.29671557593642289</v>
      </c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</row>
    <row r="134" spans="1:132" x14ac:dyDescent="0.3">
      <c r="A134">
        <v>8.3942917703210735</v>
      </c>
      <c r="B134">
        <v>5.4730351596026149E-2</v>
      </c>
      <c r="C134">
        <v>0.38442631429894847</v>
      </c>
      <c r="D134">
        <v>0.3066921977574999</v>
      </c>
      <c r="F134">
        <v>8.7391465669106729</v>
      </c>
      <c r="G134">
        <v>5.2873559853860712E-2</v>
      </c>
      <c r="H134">
        <v>0.38038269526686458</v>
      </c>
      <c r="I134">
        <v>0.30539240758432779</v>
      </c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</row>
    <row r="135" spans="1:132" x14ac:dyDescent="0.3">
      <c r="A135">
        <v>8.470297369496663</v>
      </c>
      <c r="B135">
        <v>5.6745676499281819E-2</v>
      </c>
      <c r="C135">
        <v>0.37831853959607753</v>
      </c>
      <c r="D135">
        <v>0.3181990245722634</v>
      </c>
      <c r="F135">
        <v>8.8102215882494761</v>
      </c>
      <c r="G135">
        <v>5.4326243280191762E-2</v>
      </c>
      <c r="H135">
        <v>0.3756904847956401</v>
      </c>
      <c r="I135">
        <v>0.31426596818851693</v>
      </c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</row>
    <row r="136" spans="1:132" x14ac:dyDescent="0.3">
      <c r="A136">
        <v>8.546329646527532</v>
      </c>
      <c r="B136">
        <v>5.8835646465180601E-2</v>
      </c>
      <c r="C136">
        <v>0.37198437264089196</v>
      </c>
      <c r="D136">
        <v>0.3301323857112935</v>
      </c>
      <c r="F136">
        <v>8.8812966095882793</v>
      </c>
      <c r="G136">
        <v>5.5807813196736472E-2</v>
      </c>
      <c r="H136">
        <v>0.37089408852858069</v>
      </c>
      <c r="I136">
        <v>0.32333774196865078</v>
      </c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</row>
    <row r="137" spans="1:132" x14ac:dyDescent="0.3">
      <c r="A137">
        <v>8.622361923558401</v>
      </c>
      <c r="B137">
        <v>6.1002244571561955E-2</v>
      </c>
      <c r="C137">
        <v>0.36541777841750689</v>
      </c>
      <c r="D137">
        <v>0.34250365382398618</v>
      </c>
      <c r="F137">
        <v>8.9523716309270824</v>
      </c>
      <c r="G137">
        <v>5.7318210172708224E-2</v>
      </c>
      <c r="H137">
        <v>0.36599285724683195</v>
      </c>
      <c r="I137">
        <v>0.33260904826226489</v>
      </c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</row>
    <row r="138" spans="1:132" x14ac:dyDescent="0.3">
      <c r="A138">
        <v>8.69839420058927</v>
      </c>
      <c r="B138">
        <v>6.3248240964903377E-2</v>
      </c>
      <c r="C138">
        <v>0.35861033320919566</v>
      </c>
      <c r="D138">
        <v>0.35532870217561691</v>
      </c>
      <c r="F138">
        <v>9.0234466522658856</v>
      </c>
      <c r="G138">
        <v>5.885733338979969E-2</v>
      </c>
      <c r="H138">
        <v>0.36098623632289634</v>
      </c>
      <c r="I138">
        <v>0.34208103177879229</v>
      </c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</row>
    <row r="139" spans="1:132" x14ac:dyDescent="0.3">
      <c r="A139">
        <v>8.7744264776201391</v>
      </c>
      <c r="B139">
        <v>6.5576500596278814E-2</v>
      </c>
      <c r="C139">
        <v>0.35155332207485213</v>
      </c>
      <c r="D139">
        <v>0.36862395314060364</v>
      </c>
      <c r="F139">
        <v>9.0945216736046888</v>
      </c>
      <c r="G139">
        <v>6.0425038833620652E-2</v>
      </c>
      <c r="H139">
        <v>0.35587377091808509</v>
      </c>
      <c r="I139">
        <v>0.35175465284067109</v>
      </c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</row>
    <row r="140" spans="1:132" x14ac:dyDescent="0.3">
      <c r="A140">
        <v>8.8504587546510081</v>
      </c>
      <c r="B140">
        <v>6.7989985579031811E-2</v>
      </c>
      <c r="C140">
        <v>0.34423773109163491</v>
      </c>
      <c r="D140">
        <v>0.38240639288810324</v>
      </c>
      <c r="F140">
        <v>9.1973646631275692</v>
      </c>
      <c r="G140">
        <v>6.2743657119984475E-2</v>
      </c>
      <c r="H140">
        <v>0.34828815119432988</v>
      </c>
      <c r="I140">
        <v>0.36611051152414359</v>
      </c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</row>
    <row r="141" spans="1:132" x14ac:dyDescent="0.3">
      <c r="A141">
        <v>8.9264910316818771</v>
      </c>
      <c r="B141">
        <v>7.0491757418032833E-2</v>
      </c>
      <c r="C141">
        <v>0.33665423987066573</v>
      </c>
      <c r="D141">
        <v>0.39669358556665962</v>
      </c>
      <c r="F141">
        <v>9.3002076526504496</v>
      </c>
      <c r="G141">
        <v>6.512096647970575E-2</v>
      </c>
      <c r="H141">
        <v>0.34047956528490853</v>
      </c>
      <c r="I141">
        <v>0.38089166288481752</v>
      </c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</row>
    <row r="142" spans="1:132" x14ac:dyDescent="0.3">
      <c r="A142">
        <v>8.9873929148875842</v>
      </c>
      <c r="B142">
        <v>7.2561485689310923E-2</v>
      </c>
      <c r="C142">
        <v>0.33038014639924507</v>
      </c>
      <c r="D142">
        <v>0.40851391806743487</v>
      </c>
      <c r="F142">
        <v>9.3803200521905499</v>
      </c>
      <c r="G142">
        <v>6.7012894256174418E-2</v>
      </c>
      <c r="H142">
        <v>0.33424225487485798</v>
      </c>
      <c r="I142">
        <v>0.39270095577019376</v>
      </c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</row>
    <row r="143" spans="1:132" x14ac:dyDescent="0.3">
      <c r="A143">
        <v>9.0482947980932913</v>
      </c>
      <c r="B143">
        <v>7.4691559543709013E-2</v>
      </c>
      <c r="C143">
        <v>0.3239228937376491</v>
      </c>
      <c r="D143">
        <v>0.42067934741849672</v>
      </c>
      <c r="F143">
        <v>9.4604324517306502</v>
      </c>
      <c r="G143">
        <v>6.8939307293001031E-2</v>
      </c>
      <c r="H143">
        <v>0.3278697211428987</v>
      </c>
      <c r="I143">
        <v>0.4047685679828284</v>
      </c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</row>
    <row r="144" spans="1:132" x14ac:dyDescent="0.3">
      <c r="A144">
        <v>9.1091966812989984</v>
      </c>
      <c r="B144">
        <v>7.6883695185213013E-2</v>
      </c>
      <c r="C144">
        <v>0.3172772493055992</v>
      </c>
      <c r="D144">
        <v>0.43319973524866756</v>
      </c>
      <c r="F144">
        <v>9.5405448512707505</v>
      </c>
      <c r="G144">
        <v>7.0899570585807536E-2</v>
      </c>
      <c r="H144">
        <v>0.32136233925408186</v>
      </c>
      <c r="I144">
        <v>0.41709397250249181</v>
      </c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</row>
    <row r="145" spans="1:132" x14ac:dyDescent="0.3">
      <c r="A145">
        <v>9.1700985645047055</v>
      </c>
      <c r="B145">
        <v>7.9139652195851395E-2</v>
      </c>
      <c r="C145">
        <v>0.31043784522916579</v>
      </c>
      <c r="D145">
        <v>0.44608519851945988</v>
      </c>
      <c r="F145">
        <v>9.6206572508108508</v>
      </c>
      <c r="G145">
        <v>7.2892960846648383E-2</v>
      </c>
      <c r="H145">
        <v>0.31472070255682805</v>
      </c>
      <c r="I145">
        <v>0.42967623698860385</v>
      </c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</row>
    <row r="146" spans="1:132" x14ac:dyDescent="0.3">
      <c r="A146">
        <v>9.219663903743534</v>
      </c>
      <c r="B146">
        <v>8.1024029515058785E-2</v>
      </c>
      <c r="C146">
        <v>0.30472473588165999</v>
      </c>
      <c r="D146">
        <v>0.45684874452388352</v>
      </c>
      <c r="F146">
        <v>9.6860053457979216</v>
      </c>
      <c r="G146">
        <v>7.4542948579470344E-2</v>
      </c>
      <c r="H146">
        <v>0.30920422662902858</v>
      </c>
      <c r="I146">
        <v>0.44012894315816037</v>
      </c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</row>
    <row r="147" spans="1:132" x14ac:dyDescent="0.3">
      <c r="A147">
        <v>9.2692292429823624</v>
      </c>
      <c r="B147">
        <v>8.2952866563704125E-2</v>
      </c>
      <c r="C147">
        <v>0.2988766099320237</v>
      </c>
      <c r="D147">
        <v>0.46786668872771586</v>
      </c>
      <c r="F147">
        <v>9.7513534407849924</v>
      </c>
      <c r="G147">
        <v>7.621395096659421E-2</v>
      </c>
      <c r="H147">
        <v>0.30359952162321957</v>
      </c>
      <c r="I147">
        <v>0.45075071733030647</v>
      </c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</row>
    <row r="148" spans="1:132" x14ac:dyDescent="0.3">
      <c r="A148">
        <v>9.3187945822211908</v>
      </c>
      <c r="B148">
        <v>8.4927175826991025E-2</v>
      </c>
      <c r="C148">
        <v>0.29289037260587614</v>
      </c>
      <c r="D148">
        <v>0.47914486462242184</v>
      </c>
      <c r="F148">
        <v>9.8167015357720633</v>
      </c>
      <c r="G148">
        <v>7.7905438916206091E-2</v>
      </c>
      <c r="H148">
        <v>0.29790725336472362</v>
      </c>
      <c r="I148">
        <v>0.46154041391835154</v>
      </c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</row>
    <row r="149" spans="1:132" x14ac:dyDescent="0.3">
      <c r="A149">
        <v>9.3683599214600193</v>
      </c>
      <c r="B149">
        <v>8.6947988758192735E-2</v>
      </c>
      <c r="C149">
        <v>0.28676286882549273</v>
      </c>
      <c r="D149">
        <v>0.4906892196357161</v>
      </c>
      <c r="F149">
        <v>9.8820496307591341</v>
      </c>
      <c r="G149">
        <v>7.9616840969573721E-2</v>
      </c>
      <c r="H149">
        <v>0.29212819628565628</v>
      </c>
      <c r="I149">
        <v>0.47249668502105191</v>
      </c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</row>
    <row r="150" spans="1:132" x14ac:dyDescent="0.3">
      <c r="A150">
        <v>9.4179252606988477</v>
      </c>
      <c r="B150">
        <v>8.9016355543390921E-2</v>
      </c>
      <c r="C150">
        <v>0.28049088354954743</v>
      </c>
      <c r="D150">
        <v>0.50250581453481202</v>
      </c>
      <c r="F150">
        <v>9.947397725746205</v>
      </c>
      <c r="G150">
        <v>8.1347542764665715E-2</v>
      </c>
      <c r="H150">
        <v>0.28626323573050172</v>
      </c>
      <c r="I150">
        <v>0.48361797600008705</v>
      </c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</row>
    <row r="151" spans="1:132" x14ac:dyDescent="0.3">
      <c r="A151">
        <v>9.4674905999376762</v>
      </c>
      <c r="B151">
        <v>9.113334474218171E-2</v>
      </c>
      <c r="C151">
        <v>0.27407114242407199</v>
      </c>
      <c r="D151">
        <v>0.51460082225085479</v>
      </c>
      <c r="F151">
        <v>10.012745820733276</v>
      </c>
      <c r="G151">
        <v>8.3096886587357643E-2</v>
      </c>
      <c r="H151">
        <v>0.28031337008951829</v>
      </c>
      <c r="I151">
        <v>0.49490252137107393</v>
      </c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</row>
    <row r="152" spans="1:132" x14ac:dyDescent="0.3">
      <c r="A152">
        <v>9.5079355819157492</v>
      </c>
      <c r="B152">
        <v>9.2897573939636297E-2</v>
      </c>
      <c r="C152">
        <v>0.2687208859360663</v>
      </c>
      <c r="D152">
        <v>0.52468091462576139</v>
      </c>
      <c r="F152">
        <v>10.078093915720347</v>
      </c>
      <c r="G152">
        <v>8.486417100402345E-2</v>
      </c>
      <c r="H152">
        <v>0.2742797127667535</v>
      </c>
      <c r="I152">
        <v>0.50634834099674275</v>
      </c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</row>
    <row r="153" spans="1:132" x14ac:dyDescent="0.3">
      <c r="A153">
        <v>9.5483805638938222</v>
      </c>
      <c r="B153">
        <v>9.4695500010498923E-2</v>
      </c>
      <c r="C153">
        <v>0.26326819012969693</v>
      </c>
      <c r="D153">
        <v>0.53495403557024679</v>
      </c>
      <c r="F153">
        <v>10.143442010707417</v>
      </c>
      <c r="G153">
        <v>8.664865057519687E-2</v>
      </c>
      <c r="H153">
        <v>0.26816349398023992</v>
      </c>
      <c r="I153">
        <v>0.51795323658724068</v>
      </c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</row>
    <row r="154" spans="1:132" x14ac:dyDescent="0.3">
      <c r="A154">
        <v>9.5888255458718952</v>
      </c>
      <c r="B154">
        <v>9.6527729062772197E-2</v>
      </c>
      <c r="C154">
        <v>0.25771119167345591</v>
      </c>
      <c r="D154">
        <v>0.54542369859934603</v>
      </c>
      <c r="F154">
        <v>10.208790105694488</v>
      </c>
      <c r="G154">
        <v>8.8449535654297917E-2</v>
      </c>
      <c r="H154">
        <v>0.26196606238664899</v>
      </c>
      <c r="I154">
        <v>0.52971478852160536</v>
      </c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</row>
    <row r="155" spans="1:132" x14ac:dyDescent="0.3">
      <c r="A155">
        <v>9.6292705278499682</v>
      </c>
      <c r="B155">
        <v>9.839487412440602E-2</v>
      </c>
      <c r="C155">
        <v>0.25204800362261615</v>
      </c>
      <c r="D155">
        <v>0.55609346202101773</v>
      </c>
      <c r="F155">
        <v>10.274138200681559</v>
      </c>
      <c r="G155">
        <v>9.0265992273229997E-2</v>
      </c>
      <c r="H155">
        <v>0.25568888652757188</v>
      </c>
      <c r="I155">
        <v>0.54163035299543527</v>
      </c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</row>
    <row r="156" spans="1:132" x14ac:dyDescent="0.3">
      <c r="A156">
        <v>9.6697155098280412</v>
      </c>
      <c r="B156">
        <v>0.10029755465818926</v>
      </c>
      <c r="C156">
        <v>0.24627671655240158</v>
      </c>
      <c r="D156">
        <v>0.56696692684039973</v>
      </c>
      <c r="F156">
        <v>10.33948629566863</v>
      </c>
      <c r="G156">
        <v>9.2097142112096825E-2</v>
      </c>
      <c r="H156">
        <v>0.24933355610286137</v>
      </c>
      <c r="I156">
        <v>0.55369705948485493</v>
      </c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</row>
    <row r="157" spans="1:132" x14ac:dyDescent="0.3">
      <c r="A157">
        <v>9.7101604918061142</v>
      </c>
      <c r="B157">
        <v>0.1022363959641967</v>
      </c>
      <c r="C157">
        <v>0.24039539997602544</v>
      </c>
      <c r="D157">
        <v>0.57804773413387278</v>
      </c>
      <c r="F157">
        <v>10.404834390655701</v>
      </c>
      <c r="G157">
        <v>9.3942062547594629E-2</v>
      </c>
      <c r="H157">
        <v>0.2429017830820713</v>
      </c>
      <c r="I157">
        <v>0.56591180850661837</v>
      </c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</row>
    <row r="158" spans="1:132" x14ac:dyDescent="0.3">
      <c r="A158">
        <v>9.7437496892368962</v>
      </c>
      <c r="B158">
        <v>0.10387452430267165</v>
      </c>
      <c r="C158">
        <v>0.2354259873424297</v>
      </c>
      <c r="D158">
        <v>0.58741048426870057</v>
      </c>
      <c r="F158">
        <v>10.470182485642772</v>
      </c>
      <c r="G158">
        <v>9.5799786773603901E-2</v>
      </c>
      <c r="H158">
        <v>0.23639540266864062</v>
      </c>
      <c r="I158">
        <v>0.57827126964733322</v>
      </c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</row>
    <row r="159" spans="1:132" x14ac:dyDescent="0.3">
      <c r="A159">
        <v>9.7773388866676783</v>
      </c>
      <c r="B159">
        <v>0.10553839138130762</v>
      </c>
      <c r="C159">
        <v>0.2303782151734019</v>
      </c>
      <c r="D159">
        <v>0.59692090201743586</v>
      </c>
      <c r="F159">
        <v>10.535530580629842</v>
      </c>
      <c r="G159">
        <v>9.7669303985887107E-2</v>
      </c>
      <c r="H159">
        <v>0.22981637413651598</v>
      </c>
      <c r="I159">
        <v>0.59077187982526291</v>
      </c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</row>
    <row r="160" spans="1:132" x14ac:dyDescent="0.3">
      <c r="A160">
        <v>9.8109280840984603</v>
      </c>
      <c r="B160">
        <v>0.10722836215730164</v>
      </c>
      <c r="C160">
        <v>0.22525095034922479</v>
      </c>
      <c r="D160">
        <v>0.6065811252762322</v>
      </c>
      <c r="F160">
        <v>10.600878675616913</v>
      </c>
      <c r="G160">
        <v>9.9549559619574762E-2</v>
      </c>
      <c r="H160">
        <v>0.22316678156690897</v>
      </c>
      <c r="I160">
        <v>0.60340984173329681</v>
      </c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</row>
    <row r="161" spans="1:132" x14ac:dyDescent="0.3">
      <c r="A161">
        <v>9.8445172815292423</v>
      </c>
      <c r="B161">
        <v>0.10894480269768138</v>
      </c>
      <c r="C161">
        <v>0.22004305378839101</v>
      </c>
      <c r="D161">
        <v>0.61639330347453292</v>
      </c>
      <c r="F161">
        <v>10.667364677882246</v>
      </c>
      <c r="G161">
        <v>0.10147244306922361</v>
      </c>
      <c r="H161">
        <v>0.21633126305554126</v>
      </c>
      <c r="I161">
        <v>0.61640466474290578</v>
      </c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</row>
    <row r="162" spans="1:132" x14ac:dyDescent="0.3">
      <c r="A162">
        <v>9.8781064789600244</v>
      </c>
      <c r="B162">
        <v>0.11068807959949897</v>
      </c>
      <c r="C162">
        <v>0.21475338187919624</v>
      </c>
      <c r="D162">
        <v>0.6263595949157833</v>
      </c>
      <c r="F162">
        <v>10.733850680147578</v>
      </c>
      <c r="G162">
        <v>0.10340410311680069</v>
      </c>
      <c r="H162">
        <v>0.20942745023604539</v>
      </c>
      <c r="I162">
        <v>0.62953298993183293</v>
      </c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</row>
    <row r="163" spans="1:132" x14ac:dyDescent="0.3">
      <c r="A163">
        <v>9.9116956763908064</v>
      </c>
      <c r="B163">
        <v>0.11245855930267243</v>
      </c>
      <c r="C163">
        <v>0.20938078818341965</v>
      </c>
      <c r="D163">
        <v>0.6364821636117205</v>
      </c>
      <c r="F163">
        <v>10.80033668241291</v>
      </c>
      <c r="G163">
        <v>0.1053432914854287</v>
      </c>
      <c r="H163">
        <v>0.20245794008020004</v>
      </c>
      <c r="I163">
        <v>0.64279006233388947</v>
      </c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</row>
    <row r="164" spans="1:132" x14ac:dyDescent="0.3">
      <c r="A164">
        <v>9.9452848738215884</v>
      </c>
      <c r="B164">
        <v>0.11425660727931014</v>
      </c>
      <c r="C164">
        <v>0.20392412545300487</v>
      </c>
      <c r="D164">
        <v>0.64676317553409912</v>
      </c>
      <c r="F164">
        <v>10.866822684678242</v>
      </c>
      <c r="G164">
        <v>0.10728871418061854</v>
      </c>
      <c r="H164">
        <v>0.19542546644368816</v>
      </c>
      <c r="I164">
        <v>0.65617086929243806</v>
      </c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</row>
    <row r="165" spans="1:132" x14ac:dyDescent="0.3">
      <c r="A165">
        <v>9.9725577563062462</v>
      </c>
      <c r="B165">
        <v>0.11573706979452059</v>
      </c>
      <c r="C165">
        <v>0.1994309341980729</v>
      </c>
      <c r="D165">
        <v>0.65522892872611393</v>
      </c>
      <c r="F165">
        <v>10.933308686943574</v>
      </c>
      <c r="G165">
        <v>0.10923903165365512</v>
      </c>
      <c r="H165">
        <v>0.18833290127482274</v>
      </c>
      <c r="I165">
        <v>0.66967013798548436</v>
      </c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</row>
    <row r="166" spans="1:132" x14ac:dyDescent="0.3">
      <c r="A166">
        <v>9.9998306387909039</v>
      </c>
      <c r="B166">
        <v>0.11723614013980906</v>
      </c>
      <c r="C166">
        <v>0.1948809521416848</v>
      </c>
      <c r="D166">
        <v>0.66380171976746372</v>
      </c>
      <c r="F166">
        <v>10.985879618267083</v>
      </c>
      <c r="G166">
        <v>0.1107837155751929</v>
      </c>
      <c r="H166">
        <v>0.18268419805146036</v>
      </c>
      <c r="I166">
        <v>0.68042433058646834</v>
      </c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</row>
    <row r="167" spans="1:132" x14ac:dyDescent="0.3">
      <c r="A167">
        <v>10.027103521275562</v>
      </c>
      <c r="B167">
        <v>0.11875400968698208</v>
      </c>
      <c r="C167">
        <v>0.19027357112334067</v>
      </c>
      <c r="D167">
        <v>0.67248269768006286</v>
      </c>
      <c r="F167">
        <v>11.038450549590591</v>
      </c>
      <c r="G167">
        <v>0.11232988972146719</v>
      </c>
      <c r="H167">
        <v>0.17700135632825423</v>
      </c>
      <c r="I167">
        <v>0.69124627612477418</v>
      </c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</row>
    <row r="168" spans="1:132" x14ac:dyDescent="0.3">
      <c r="A168">
        <v>10.054376403760219</v>
      </c>
      <c r="B168">
        <v>0.12029086746518516</v>
      </c>
      <c r="C168">
        <v>0.18560818744056071</v>
      </c>
      <c r="D168">
        <v>0.6812730033936214</v>
      </c>
      <c r="F168">
        <v>11.091021480914099</v>
      </c>
      <c r="G168">
        <v>0.11387683104673879</v>
      </c>
      <c r="H168">
        <v>0.17128598414898394</v>
      </c>
      <c r="I168">
        <v>0.70213301278392759</v>
      </c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</row>
    <row r="169" spans="1:132" x14ac:dyDescent="0.3">
      <c r="A169">
        <v>10.081649286244877</v>
      </c>
      <c r="B169">
        <v>0.12184689952683901</v>
      </c>
      <c r="C169">
        <v>0.18088420344128661</v>
      </c>
      <c r="D169">
        <v>0.69017376678382136</v>
      </c>
      <c r="F169">
        <v>11.143592412237608</v>
      </c>
      <c r="G169">
        <v>0.11542379818399856</v>
      </c>
      <c r="H169">
        <v>0.16553974720974482</v>
      </c>
      <c r="I169">
        <v>0.71308146988580279</v>
      </c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</row>
    <row r="170" spans="1:132" x14ac:dyDescent="0.3">
      <c r="A170">
        <v>10.108922168729535</v>
      </c>
      <c r="B170">
        <v>0.12342228820587434</v>
      </c>
      <c r="C170">
        <v>0.17610102938859465</v>
      </c>
      <c r="D170">
        <v>0.69918610320374452</v>
      </c>
      <c r="F170">
        <v>11.186203728050643</v>
      </c>
      <c r="G170">
        <v>0.11667718790812416</v>
      </c>
      <c r="H170">
        <v>0.16086067676155816</v>
      </c>
      <c r="I170">
        <v>0.72199883539585863</v>
      </c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</row>
    <row r="171" spans="1:132" x14ac:dyDescent="0.3">
      <c r="A171">
        <v>10.136195051214193</v>
      </c>
      <c r="B171">
        <v>0.12501721125298049</v>
      </c>
      <c r="C171">
        <v>0.1712580856362334</v>
      </c>
      <c r="D171">
        <v>0.70831110943690134</v>
      </c>
      <c r="F171">
        <v>11.228815043863678</v>
      </c>
      <c r="G171">
        <v>0.11792968153031438</v>
      </c>
      <c r="H171">
        <v>0.15616340858904637</v>
      </c>
      <c r="I171">
        <v>0.73095291148374542</v>
      </c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</row>
    <row r="172" spans="1:132" x14ac:dyDescent="0.3">
      <c r="A172">
        <v>10.158374083238449</v>
      </c>
      <c r="B172">
        <v>0.12632876659519465</v>
      </c>
      <c r="C172">
        <v>0.16727521557043717</v>
      </c>
      <c r="D172">
        <v>0.71581561927314852</v>
      </c>
      <c r="F172">
        <v>11.271426359676713</v>
      </c>
      <c r="G172">
        <v>0.11918085637706564</v>
      </c>
      <c r="H172">
        <v>0.15144891806612124</v>
      </c>
      <c r="I172">
        <v>0.73994189604182148</v>
      </c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</row>
    <row r="173" spans="1:132" x14ac:dyDescent="0.3">
      <c r="A173">
        <v>10.180553115262706</v>
      </c>
      <c r="B173">
        <v>0.12765344407198817</v>
      </c>
      <c r="C173">
        <v>0.16325214479876834</v>
      </c>
      <c r="D173">
        <v>0.7233959159038138</v>
      </c>
      <c r="F173">
        <v>11.314037675489748</v>
      </c>
      <c r="G173">
        <v>0.12043028080726324</v>
      </c>
      <c r="H173">
        <v>0.14671820901280416</v>
      </c>
      <c r="I173">
        <v>0.74896393322383614</v>
      </c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</row>
    <row r="174" spans="1:132" x14ac:dyDescent="0.3">
      <c r="A174">
        <v>10.202732147286962</v>
      </c>
      <c r="B174">
        <v>0.12899132956105674</v>
      </c>
      <c r="C174">
        <v>0.15918858393070232</v>
      </c>
      <c r="D174">
        <v>0.73105254790962337</v>
      </c>
      <c r="F174">
        <v>11.356648991302784</v>
      </c>
      <c r="G174">
        <v>0.1216775137604288</v>
      </c>
      <c r="H174">
        <v>0.14197231504619162</v>
      </c>
      <c r="I174">
        <v>0.75801711090186463</v>
      </c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</row>
    <row r="175" spans="1:132" x14ac:dyDescent="0.3">
      <c r="A175">
        <v>10.224911179311219</v>
      </c>
      <c r="B175">
        <v>0.13034250491725874</v>
      </c>
      <c r="C175">
        <v>0.15508425307250512</v>
      </c>
      <c r="D175">
        <v>0.73878604629242006</v>
      </c>
      <c r="F175">
        <v>11.399260307115819</v>
      </c>
      <c r="G175">
        <v>0.12292210418309547</v>
      </c>
      <c r="H175">
        <v>0.13721230124526507</v>
      </c>
      <c r="I175">
        <v>0.76709945753841313</v>
      </c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</row>
    <row r="176" spans="1:132" x14ac:dyDescent="0.3">
      <c r="A176">
        <v>10.247090211335475</v>
      </c>
      <c r="B176">
        <v>0.13170704731584398</v>
      </c>
      <c r="C176">
        <v>0.15093888348225704</v>
      </c>
      <c r="D176">
        <v>0.74659692139608047</v>
      </c>
      <c r="F176">
        <v>11.433994938964171</v>
      </c>
      <c r="G176">
        <v>0.12393435742098693</v>
      </c>
      <c r="H176">
        <v>0.13332248951005365</v>
      </c>
      <c r="I176">
        <v>0.77452310528684409</v>
      </c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</row>
    <row r="177" spans="1:132" x14ac:dyDescent="0.3">
      <c r="A177">
        <v>10.269269243359732</v>
      </c>
      <c r="B177">
        <v>0.13308502848760287</v>
      </c>
      <c r="C177">
        <v>0.14675221949732342</v>
      </c>
      <c r="D177">
        <v>0.75448565932054579</v>
      </c>
      <c r="F177">
        <v>11.468729570812522</v>
      </c>
      <c r="G177">
        <v>0.1249442924066224</v>
      </c>
      <c r="H177">
        <v>0.12942463743335555</v>
      </c>
      <c r="I177">
        <v>0.7819636489702918</v>
      </c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</row>
    <row r="178" spans="1:132" x14ac:dyDescent="0.3">
      <c r="A178">
        <v>10.291448275383988</v>
      </c>
      <c r="B178">
        <v>0.13447651383049988</v>
      </c>
      <c r="C178">
        <v>0.14252402077304555</v>
      </c>
      <c r="D178">
        <v>0.76245271775684942</v>
      </c>
      <c r="F178">
        <v>11.503464202660874</v>
      </c>
      <c r="G178">
        <v>0.12595164786513138</v>
      </c>
      <c r="H178">
        <v>0.12551937455132045</v>
      </c>
      <c r="I178">
        <v>0.78941992139811967</v>
      </c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</row>
    <row r="179" spans="1:132" x14ac:dyDescent="0.3">
      <c r="A179">
        <v>10.309480998537104</v>
      </c>
      <c r="B179">
        <v>0.13561785850837241</v>
      </c>
      <c r="C179">
        <v>0.13905550440950254</v>
      </c>
      <c r="D179">
        <v>0.76898837760555028</v>
      </c>
      <c r="F179">
        <v>11.538198834509226</v>
      </c>
      <c r="G179">
        <v>0.12695615655453071</v>
      </c>
      <c r="H179">
        <v>0.12160734859378029</v>
      </c>
      <c r="I179">
        <v>0.7968907210907612</v>
      </c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</row>
    <row r="180" spans="1:132" x14ac:dyDescent="0.3">
      <c r="A180">
        <v>10.32751372169022</v>
      </c>
      <c r="B180">
        <v>0.13676819577825614</v>
      </c>
      <c r="C180">
        <v>0.13555927440047918</v>
      </c>
      <c r="D180">
        <v>0.77557630235035446</v>
      </c>
      <c r="F180">
        <v>11.572933466357577</v>
      </c>
      <c r="G180">
        <v>0.12795754470958065</v>
      </c>
      <c r="H180">
        <v>0.11768922698189996</v>
      </c>
      <c r="I180">
        <v>0.80437480947999596</v>
      </c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</row>
    <row r="181" spans="1:132" x14ac:dyDescent="0.3">
      <c r="A181">
        <v>10.345546444843336</v>
      </c>
      <c r="B181">
        <v>0.13792754845342328</v>
      </c>
      <c r="C181">
        <v>0.13203523171695045</v>
      </c>
      <c r="D181">
        <v>0.78221668202664474</v>
      </c>
      <c r="F181">
        <v>11.607668098205929</v>
      </c>
      <c r="G181">
        <v>0.12895553137349011</v>
      </c>
      <c r="H181">
        <v>0.1137656986133278</v>
      </c>
      <c r="I181">
        <v>0.81187090757366542</v>
      </c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</row>
    <row r="182" spans="1:132" x14ac:dyDescent="0.3">
      <c r="A182">
        <v>10.363579167996452</v>
      </c>
      <c r="B182">
        <v>0.13909593452313565</v>
      </c>
      <c r="C182">
        <v>0.12848328920474766</v>
      </c>
      <c r="D182">
        <v>0.78890968461653477</v>
      </c>
      <c r="F182">
        <v>11.636475737625119</v>
      </c>
      <c r="G182">
        <v>0.12978043835129593</v>
      </c>
      <c r="H182">
        <v>0.11050807435810427</v>
      </c>
      <c r="I182">
        <v>0.81809606379691735</v>
      </c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</row>
    <row r="183" spans="1:132" x14ac:dyDescent="0.3">
      <c r="A183">
        <v>10.381611891149568</v>
      </c>
      <c r="B183">
        <v>0.14027336648660746</v>
      </c>
      <c r="C183">
        <v>0.12490337326166612</v>
      </c>
      <c r="D183">
        <v>0.79565545292887696</v>
      </c>
      <c r="F183">
        <v>11.665283377044309</v>
      </c>
      <c r="G183">
        <v>0.13060263759792828</v>
      </c>
      <c r="H183">
        <v>0.10724764064721544</v>
      </c>
      <c r="I183">
        <v>0.82432779115029597</v>
      </c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</row>
    <row r="184" spans="1:132" x14ac:dyDescent="0.3">
      <c r="A184">
        <v>10.399644614302684</v>
      </c>
      <c r="B184">
        <v>0.14145985057847918</v>
      </c>
      <c r="C184">
        <v>0.12129542578729259</v>
      </c>
      <c r="D184">
        <v>0.80245410097198244</v>
      </c>
      <c r="F184">
        <v>11.694091016463499</v>
      </c>
      <c r="G184">
        <v>0.13142195498896986</v>
      </c>
      <c r="H184">
        <v>0.10398483094174504</v>
      </c>
      <c r="I184">
        <v>0.8305652839453872</v>
      </c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</row>
    <row r="185" spans="1:132" x14ac:dyDescent="0.3">
      <c r="A185">
        <v>10.4176773374558</v>
      </c>
      <c r="B185">
        <v>0.14265538587031518</v>
      </c>
      <c r="C185">
        <v>0.11765940644436028</v>
      </c>
      <c r="D185">
        <v>0.80930570974688476</v>
      </c>
      <c r="F185">
        <v>11.722898655882689</v>
      </c>
      <c r="G185">
        <v>0.13223821121968818</v>
      </c>
      <c r="H185">
        <v>0.10072009354497176</v>
      </c>
      <c r="I185">
        <v>0.83680770863113108</v>
      </c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</row>
    <row r="186" spans="1:132" x14ac:dyDescent="0.3">
      <c r="A186">
        <v>10.432336553968646</v>
      </c>
      <c r="B186">
        <v>0.14363392775012826</v>
      </c>
      <c r="C186">
        <v>0.11468290223721907</v>
      </c>
      <c r="D186">
        <v>0.81491459760009954</v>
      </c>
      <c r="F186">
        <v>11.751706295301879</v>
      </c>
      <c r="G186">
        <v>0.13305122120105736</v>
      </c>
      <c r="H186">
        <v>9.7453893177709153E-2</v>
      </c>
      <c r="I186">
        <v>0.84305420085554139</v>
      </c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</row>
    <row r="187" spans="1:132" x14ac:dyDescent="0.3">
      <c r="A187">
        <v>10.446995770481493</v>
      </c>
      <c r="B187">
        <v>0.14461843576144076</v>
      </c>
      <c r="C187">
        <v>0.11168783384168456</v>
      </c>
      <c r="D187">
        <v>0.82055851574052374</v>
      </c>
      <c r="F187">
        <v>11.780513934721069</v>
      </c>
      <c r="G187">
        <v>0.13386079334785364</v>
      </c>
      <c r="H187">
        <v>9.4186712829333746E-2</v>
      </c>
      <c r="I187">
        <v>0.8493038620140021</v>
      </c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</row>
    <row r="188" spans="1:132" x14ac:dyDescent="0.3">
      <c r="A188">
        <v>10.46165498699434</v>
      </c>
      <c r="B188">
        <v>0.14560889583326492</v>
      </c>
      <c r="C188">
        <v>0.10867421335582332</v>
      </c>
      <c r="D188">
        <v>0.82623744492032136</v>
      </c>
      <c r="F188">
        <v>11.80932157414026</v>
      </c>
      <c r="G188">
        <v>0.13466672874270041</v>
      </c>
      <c r="H188">
        <v>9.0919055925623909E-2</v>
      </c>
      <c r="I188">
        <v>0.85555575520756733</v>
      </c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</row>
    <row r="189" spans="1:132" x14ac:dyDescent="0.3">
      <c r="A189">
        <v>10.476314203507187</v>
      </c>
      <c r="B189">
        <v>0.14660528869271328</v>
      </c>
      <c r="C189">
        <v>0.10564206585034051</v>
      </c>
      <c r="D189">
        <v>0.83195134177571428</v>
      </c>
      <c r="F189">
        <v>11.83265817702207</v>
      </c>
      <c r="G189">
        <v>0.13531679564620527</v>
      </c>
      <c r="H189">
        <v>8.8271991175481693E-2</v>
      </c>
      <c r="I189">
        <v>0.86062127784678588</v>
      </c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</row>
    <row r="190" spans="1:132" x14ac:dyDescent="0.3">
      <c r="A190">
        <v>10.490973420020033</v>
      </c>
      <c r="B190">
        <v>0.14760758919454683</v>
      </c>
      <c r="C190">
        <v>0.10259143105355996</v>
      </c>
      <c r="D190">
        <v>0.83770013569279722</v>
      </c>
      <c r="F190">
        <v>11.855994779903881</v>
      </c>
      <c r="G190">
        <v>0.13596422550371912</v>
      </c>
      <c r="H190">
        <v>8.5625250830522803E-2</v>
      </c>
      <c r="I190">
        <v>0.8656870790368113</v>
      </c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</row>
    <row r="191" spans="1:132" x14ac:dyDescent="0.3">
      <c r="A191">
        <v>10.50563263653288</v>
      </c>
      <c r="B191">
        <v>0.14861576554192199</v>
      </c>
      <c r="C191">
        <v>9.9522365309263353E-2</v>
      </c>
      <c r="D191">
        <v>0.84348372516589687</v>
      </c>
      <c r="F191">
        <v>11.879331382785692</v>
      </c>
      <c r="G191">
        <v>0.13660889908346976</v>
      </c>
      <c r="H191">
        <v>8.2979139512080843E-2</v>
      </c>
      <c r="I191">
        <v>0.87075259146481632</v>
      </c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</row>
    <row r="192" spans="1:132" x14ac:dyDescent="0.3">
      <c r="A192">
        <v>10.520291853045727</v>
      </c>
      <c r="B192">
        <v>0.14962977838284514</v>
      </c>
      <c r="C192">
        <v>9.6434943846136642E-2</v>
      </c>
      <c r="D192">
        <v>0.84930197357642567</v>
      </c>
      <c r="F192">
        <v>11.902667985667502</v>
      </c>
      <c r="G192">
        <v>0.1372506920494562</v>
      </c>
      <c r="H192">
        <v>8.0333975663060275E-2</v>
      </c>
      <c r="I192">
        <v>0.87581722196981882</v>
      </c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</row>
    <row r="193" spans="1:132" x14ac:dyDescent="0.3">
      <c r="A193">
        <v>10.532208822033166</v>
      </c>
      <c r="B193">
        <v>0.15045837152218011</v>
      </c>
      <c r="C193">
        <v>9.3911615121448064E-2</v>
      </c>
      <c r="D193">
        <v>0.85405724243847003</v>
      </c>
      <c r="F193">
        <v>11.926004588549313</v>
      </c>
      <c r="G193">
        <v>0.13788947432225565</v>
      </c>
      <c r="H193">
        <v>7.7690093189959564E-2</v>
      </c>
      <c r="I193">
        <v>0.88088034848341912</v>
      </c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</row>
    <row r="194" spans="1:132" x14ac:dyDescent="0.3">
      <c r="A194">
        <v>10.544125791020605</v>
      </c>
      <c r="B194">
        <v>0.15129075977299214</v>
      </c>
      <c r="C194">
        <v>9.1376283098819677E-2</v>
      </c>
      <c r="D194">
        <v>0.85883518328219133</v>
      </c>
      <c r="F194">
        <v>11.949341191431124</v>
      </c>
      <c r="G194">
        <v>0.13852510933138806</v>
      </c>
      <c r="H194">
        <v>7.5047843380668958E-2</v>
      </c>
      <c r="I194">
        <v>0.88594131645712204</v>
      </c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</row>
    <row r="195" spans="1:132" x14ac:dyDescent="0.3">
      <c r="A195">
        <v>10.556042760008044</v>
      </c>
      <c r="B195">
        <v>0.15212690783321597</v>
      </c>
      <c r="C195">
        <v>8.8829023623909972E-2</v>
      </c>
      <c r="D195">
        <v>0.86363565683083199</v>
      </c>
      <c r="F195">
        <v>11.972677794312935</v>
      </c>
      <c r="G195">
        <v>0.13915745314409755</v>
      </c>
      <c r="H195">
        <v>7.2407597136440169E-2</v>
      </c>
      <c r="I195">
        <v>0.89099943470477672</v>
      </c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</row>
    <row r="196" spans="1:132" x14ac:dyDescent="0.3">
      <c r="A196">
        <v>10.567959728995483</v>
      </c>
      <c r="B196">
        <v>0.15296677501808059</v>
      </c>
      <c r="C196">
        <v>8.6269926018191112E-2</v>
      </c>
      <c r="D196">
        <v>0.86845849874892567</v>
      </c>
      <c r="F196">
        <v>11.991621577873509</v>
      </c>
      <c r="G196">
        <v>0.13966824137599099</v>
      </c>
      <c r="H196">
        <v>7.026608720967184E-2</v>
      </c>
      <c r="I196">
        <v>0.89510282736343083</v>
      </c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</row>
    <row r="197" spans="1:132" x14ac:dyDescent="0.3">
      <c r="A197">
        <v>10.579876697982922</v>
      </c>
      <c r="B197">
        <v>0.15381031458726316</v>
      </c>
      <c r="C197">
        <v>8.3699094766475232E-2</v>
      </c>
      <c r="D197">
        <v>0.87330351650386162</v>
      </c>
      <c r="F197">
        <v>12.010565361434084</v>
      </c>
      <c r="G197">
        <v>0.14017667460647451</v>
      </c>
      <c r="H197">
        <v>6.8126378494105494E-2</v>
      </c>
      <c r="I197">
        <v>0.89920344577517675</v>
      </c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</row>
    <row r="198" spans="1:132" x14ac:dyDescent="0.3">
      <c r="A198">
        <v>10.591793666970361</v>
      </c>
      <c r="B198">
        <v>0.15465747296318641</v>
      </c>
      <c r="C198">
        <v>8.1116651476910676E-2</v>
      </c>
      <c r="D198">
        <v>0.87817048572079104</v>
      </c>
      <c r="F198">
        <v>12.029509144994659</v>
      </c>
      <c r="G198">
        <v>0.14068266212505795</v>
      </c>
      <c r="H198">
        <v>6.598870561444066E-2</v>
      </c>
      <c r="I198">
        <v>0.90330085259047121</v>
      </c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</row>
    <row r="199" spans="1:132" x14ac:dyDescent="0.3">
      <c r="A199">
        <v>10.6037106359578</v>
      </c>
      <c r="B199">
        <v>0.15550818882506204</v>
      </c>
      <c r="C199">
        <v>7.8522737151906066E-2</v>
      </c>
      <c r="D199">
        <v>0.88305914595937407</v>
      </c>
      <c r="F199">
        <v>12.048452928555234</v>
      </c>
      <c r="G199">
        <v>0.14118610800899914</v>
      </c>
      <c r="H199">
        <v>6.3853316860533554E-2</v>
      </c>
      <c r="I199">
        <v>0.90739458496243286</v>
      </c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</row>
    <row r="200" spans="1:132" x14ac:dyDescent="0.3">
      <c r="A200">
        <v>10.613403205133006</v>
      </c>
      <c r="B200">
        <v>0.15620268684905153</v>
      </c>
      <c r="C200">
        <v>7.6404650985066755E-2</v>
      </c>
      <c r="D200">
        <v>0.88705108648794972</v>
      </c>
      <c r="F200">
        <v>12.067396712115809</v>
      </c>
      <c r="G200">
        <v>0.14168691046830639</v>
      </c>
      <c r="H200">
        <v>6.1720475856895093E-2</v>
      </c>
      <c r="I200">
        <v>0.91148415143818673</v>
      </c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</row>
    <row r="201" spans="1:132" x14ac:dyDescent="0.3">
      <c r="A201">
        <v>10.623095774308212</v>
      </c>
      <c r="B201">
        <v>0.15689944948857557</v>
      </c>
      <c r="C201">
        <v>7.4279183637111459E-2</v>
      </c>
      <c r="D201">
        <v>0.89105699298896102</v>
      </c>
      <c r="F201">
        <v>12.086340495676383</v>
      </c>
      <c r="G201">
        <v>0.14218496108282311</v>
      </c>
      <c r="H201">
        <v>5.9590463505504926E-2</v>
      </c>
      <c r="I201">
        <v>0.91556902834152865</v>
      </c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</row>
    <row r="202" spans="1:132" x14ac:dyDescent="0.3">
      <c r="A202">
        <v>10.632788343483417</v>
      </c>
      <c r="B202">
        <v>0.1575984292834802</v>
      </c>
      <c r="C202">
        <v>7.2146447210966552E-2</v>
      </c>
      <c r="D202">
        <v>0.89507665794670943</v>
      </c>
      <c r="F202">
        <v>12.105284279236958</v>
      </c>
      <c r="G202">
        <v>0.14268014391652617</v>
      </c>
      <c r="H202">
        <v>5.7463580239501079E-2</v>
      </c>
      <c r="I202">
        <v>0.91964865557701736</v>
      </c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</row>
    <row r="203" spans="1:132" x14ac:dyDescent="0.3">
      <c r="A203">
        <v>10.642480912658623</v>
      </c>
      <c r="B203">
        <v>0.1582995732945707</v>
      </c>
      <c r="C203">
        <v>7.0006567533311373E-2</v>
      </c>
      <c r="D203">
        <v>0.89910984832478624</v>
      </c>
      <c r="F203">
        <v>12.120695723184911</v>
      </c>
      <c r="G203">
        <v>0.1430807914871996</v>
      </c>
      <c r="H203">
        <v>5.57358154574343E-2</v>
      </c>
      <c r="I203">
        <v>0.92296329074546413</v>
      </c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</row>
    <row r="204" spans="1:132" x14ac:dyDescent="0.3">
      <c r="A204">
        <v>10.652173481833829</v>
      </c>
      <c r="B204">
        <v>0.15900282242914504</v>
      </c>
      <c r="C204">
        <v>6.7859685843052506E-2</v>
      </c>
      <c r="D204">
        <v>0.90315630242631195</v>
      </c>
      <c r="F204">
        <v>12.136107167132863</v>
      </c>
      <c r="G204">
        <v>0.14347938711624059</v>
      </c>
      <c r="H204">
        <v>5.4010520498590557E-2</v>
      </c>
      <c r="I204">
        <v>0.92627370786693886</v>
      </c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</row>
    <row r="205" spans="1:132" x14ac:dyDescent="0.3">
      <c r="A205">
        <v>10.661866051009035</v>
      </c>
      <c r="B205">
        <v>0.15970811065793877</v>
      </c>
      <c r="C205">
        <v>6.570596075117148E-2</v>
      </c>
      <c r="D205">
        <v>0.90721572624961488</v>
      </c>
      <c r="F205">
        <v>12.151518611080816</v>
      </c>
      <c r="G205">
        <v>0.14387585429819169</v>
      </c>
      <c r="H205">
        <v>5.2287893543193589E-2</v>
      </c>
      <c r="I205">
        <v>0.92957953748541333</v>
      </c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</row>
    <row r="206" spans="1:132" x14ac:dyDescent="0.3">
      <c r="A206">
        <v>10.671558620184241</v>
      </c>
      <c r="B206">
        <v>0.16041536410828847</v>
      </c>
      <c r="C206">
        <v>6.3545570509849714E-2</v>
      </c>
      <c r="D206">
        <v>0.91128778926888543</v>
      </c>
      <c r="F206">
        <v>12.166930055028768</v>
      </c>
      <c r="G206">
        <v>0.14427011118425007</v>
      </c>
      <c r="H206">
        <v>5.0568146536156683E-2</v>
      </c>
      <c r="I206">
        <v>0.93288038449455657</v>
      </c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</row>
    <row r="207" spans="1:132" x14ac:dyDescent="0.3">
      <c r="A207">
        <v>10.679450904018459</v>
      </c>
      <c r="B207">
        <v>0.16099264777856631</v>
      </c>
      <c r="C207">
        <v>6.1781663355746759E-2</v>
      </c>
      <c r="D207">
        <v>0.91461259215304358</v>
      </c>
      <c r="F207">
        <v>12.18234149897672</v>
      </c>
      <c r="G207">
        <v>0.14466206991969216</v>
      </c>
      <c r="H207">
        <v>4.8851506867204152E-2</v>
      </c>
      <c r="I207">
        <v>0.93617582501049779</v>
      </c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</row>
    <row r="208" spans="1:132" x14ac:dyDescent="0.3">
      <c r="A208">
        <v>10.687343187852678</v>
      </c>
      <c r="B208">
        <v>0.16157113016411723</v>
      </c>
      <c r="C208">
        <v>6.001359006079552E-2</v>
      </c>
      <c r="D208">
        <v>0.917945305770694</v>
      </c>
      <c r="F208">
        <v>12.197752942924673</v>
      </c>
      <c r="G208">
        <v>0.14505163587441922</v>
      </c>
      <c r="H208">
        <v>4.7138219320738153E-2</v>
      </c>
      <c r="I208">
        <v>0.93946540274268409</v>
      </c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</row>
    <row r="209" spans="1:132" x14ac:dyDescent="0.3">
      <c r="A209">
        <v>10.695235471686896</v>
      </c>
      <c r="B209">
        <v>0.16215075671275761</v>
      </c>
      <c r="C209">
        <v>5.8241483586398579E-2</v>
      </c>
      <c r="D209">
        <v>0.92128568338321604</v>
      </c>
      <c r="F209">
        <v>12.213164386872625</v>
      </c>
      <c r="G209">
        <v>0.14543870675223777</v>
      </c>
      <c r="H209">
        <v>4.5428548331682139E-2</v>
      </c>
      <c r="I209">
        <v>0.94274862479542987</v>
      </c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</row>
    <row r="210" spans="1:132" x14ac:dyDescent="0.3">
      <c r="A210">
        <v>10.703127755521114</v>
      </c>
      <c r="B210">
        <v>0.16273146732596031</v>
      </c>
      <c r="C210">
        <v>5.6465490775850065E-2</v>
      </c>
      <c r="D210">
        <v>0.92463345243867012</v>
      </c>
      <c r="F210">
        <v>12.225742639980151</v>
      </c>
      <c r="G210">
        <v>0.14575269363581614</v>
      </c>
      <c r="H210">
        <v>4.4036056863919364E-2</v>
      </c>
      <c r="I210">
        <v>0.94542318901023026</v>
      </c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</row>
    <row r="211" spans="1:132" x14ac:dyDescent="0.3">
      <c r="A211">
        <v>10.711020039355333</v>
      </c>
      <c r="B211">
        <v>0.1633131956830163</v>
      </c>
      <c r="C211">
        <v>5.4685774043622092E-2</v>
      </c>
      <c r="D211">
        <v>0.92798831143089466</v>
      </c>
      <c r="F211">
        <v>12.238320893087677</v>
      </c>
      <c r="G211">
        <v>0.14606487956855285</v>
      </c>
      <c r="H211">
        <v>4.2646333182479991E-2</v>
      </c>
      <c r="I211">
        <v>0.94809285098676332</v>
      </c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</row>
    <row r="212" spans="1:132" x14ac:dyDescent="0.3">
      <c r="A212">
        <v>10.718912323189551</v>
      </c>
      <c r="B212">
        <v>0.16389586845725668</v>
      </c>
      <c r="C212">
        <v>5.2902513334063948E-2</v>
      </c>
      <c r="D212">
        <v>0.93134992625773649</v>
      </c>
      <c r="F212">
        <v>12.250899146195202</v>
      </c>
      <c r="G212">
        <v>0.14637519446749908</v>
      </c>
      <c r="H212">
        <v>4.1259558034417748E-2</v>
      </c>
      <c r="I212">
        <v>0.95075727387675835</v>
      </c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</row>
    <row r="213" spans="1:132" x14ac:dyDescent="0.3">
      <c r="A213">
        <v>10.726804607023769</v>
      </c>
      <c r="B213">
        <v>0.16447940440947781</v>
      </c>
      <c r="C213">
        <v>5.111590838654511E-2</v>
      </c>
      <c r="D213">
        <v>0.93471792600957637</v>
      </c>
      <c r="F213">
        <v>12.263477399302728</v>
      </c>
      <c r="G213">
        <v>0.14668356277080655</v>
      </c>
      <c r="H213">
        <v>3.987592613974144E-2</v>
      </c>
      <c r="I213">
        <v>0.95341609481278111</v>
      </c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</row>
    <row r="214" spans="1:132" x14ac:dyDescent="0.3">
      <c r="A214">
        <v>10.733243260867415</v>
      </c>
      <c r="B214">
        <v>0.16495603951302457</v>
      </c>
      <c r="C214">
        <v>4.9656043543439984E-2</v>
      </c>
      <c r="D214">
        <v>0.93747003901770598</v>
      </c>
      <c r="F214">
        <v>12.276055652410253</v>
      </c>
      <c r="G214">
        <v>0.14698990277017915</v>
      </c>
      <c r="H214">
        <v>3.8495647877664026E-2</v>
      </c>
      <c r="I214">
        <v>0.95606892177048985</v>
      </c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</row>
    <row r="215" spans="1:132" x14ac:dyDescent="0.3">
      <c r="A215">
        <v>10.73968191471106</v>
      </c>
      <c r="B215">
        <v>0.16543313532688564</v>
      </c>
      <c r="C215">
        <v>4.81942333392558E-2</v>
      </c>
      <c r="D215">
        <v>0.94022588073153324</v>
      </c>
      <c r="F215">
        <v>12.288633905517779</v>
      </c>
      <c r="G215">
        <v>0.14729412583800344</v>
      </c>
      <c r="H215">
        <v>3.71189512379159E-2</v>
      </c>
      <c r="I215">
        <v>0.95871532993780129</v>
      </c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</row>
    <row r="216" spans="1:132" x14ac:dyDescent="0.3">
      <c r="A216">
        <v>10.746120568554705</v>
      </c>
      <c r="B216">
        <v>0.16591063287680965</v>
      </c>
      <c r="C216">
        <v>4.6730623399191401E-2</v>
      </c>
      <c r="D216">
        <v>0.94298518063993875</v>
      </c>
      <c r="F216">
        <v>12.301212158625304</v>
      </c>
      <c r="G216">
        <v>0.1475961355354295</v>
      </c>
      <c r="H216">
        <v>3.5746084071615433E-2</v>
      </c>
      <c r="I216">
        <v>0.96135485752680738</v>
      </c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</row>
    <row r="217" spans="1:132" x14ac:dyDescent="0.3">
      <c r="A217">
        <v>10.75255922239835</v>
      </c>
      <c r="B217">
        <v>0.16638846757527473</v>
      </c>
      <c r="C217">
        <v>4.526537338217989E-2</v>
      </c>
      <c r="D217">
        <v>0.94574764213833495</v>
      </c>
      <c r="F217">
        <v>12.311522467751955</v>
      </c>
      <c r="G217">
        <v>0.14784196664082891</v>
      </c>
      <c r="H217">
        <v>3.4623798809702781E-2</v>
      </c>
      <c r="I217">
        <v>0.9635129774452339</v>
      </c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</row>
    <row r="218" spans="1:132" x14ac:dyDescent="0.3">
      <c r="A218">
        <v>10.758997876241995</v>
      </c>
      <c r="B218">
        <v>0.16686656854425311</v>
      </c>
      <c r="C218">
        <v>4.3798658671523348E-2</v>
      </c>
      <c r="D218">
        <v>0.94851293938555736</v>
      </c>
      <c r="F218">
        <v>12.321832776878605</v>
      </c>
      <c r="G218">
        <v>0.14808617708224669</v>
      </c>
      <c r="H218">
        <v>3.3504429204053832E-2</v>
      </c>
      <c r="I218">
        <v>0.96566583598463329</v>
      </c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</row>
    <row r="219" spans="1:132" x14ac:dyDescent="0.3">
      <c r="A219">
        <v>10.76543653008564</v>
      </c>
      <c r="B219">
        <v>0.16734485783114397</v>
      </c>
      <c r="C219">
        <v>4.2330672331907716E-2</v>
      </c>
      <c r="D219">
        <v>0.95128071366556533</v>
      </c>
      <c r="F219">
        <v>12.332143086005255</v>
      </c>
      <c r="G219">
        <v>0.14832869885057898</v>
      </c>
      <c r="H219">
        <v>3.2388149566893995E-2</v>
      </c>
      <c r="I219">
        <v>0.96781310843708945</v>
      </c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</row>
    <row r="220" spans="1:132" x14ac:dyDescent="0.3">
      <c r="A220">
        <v>10.771875183929286</v>
      </c>
      <c r="B220">
        <v>0.1678232495035161</v>
      </c>
      <c r="C220">
        <v>4.0861627368558653E-2</v>
      </c>
      <c r="D220">
        <v>0.95405056918747932</v>
      </c>
      <c r="F220">
        <v>12.342453395131905</v>
      </c>
      <c r="G220">
        <v>0.14856945830758431</v>
      </c>
      <c r="H220">
        <v>3.1275148477692173E-2</v>
      </c>
      <c r="I220">
        <v>0.96995444353977955</v>
      </c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</row>
    <row r="221" spans="1:132" x14ac:dyDescent="0.3">
      <c r="A221">
        <v>10.777143216720402</v>
      </c>
      <c r="B221">
        <v>0.1682146742154749</v>
      </c>
      <c r="C221">
        <v>3.9659047982763422E-2</v>
      </c>
      <c r="D221">
        <v>0.9563180769353643</v>
      </c>
      <c r="F221">
        <v>12.352763704258555</v>
      </c>
      <c r="G221">
        <v>0.14880837551423232</v>
      </c>
      <c r="H221">
        <v>3.0165630474738959E-2</v>
      </c>
      <c r="I221">
        <v>0.9720894603280148</v>
      </c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</row>
    <row r="222" spans="1:132" x14ac:dyDescent="0.3">
      <c r="A222">
        <v>10.782411249511519</v>
      </c>
      <c r="B222">
        <v>0.16860604703691989</v>
      </c>
      <c r="C222">
        <v>3.8456058747678878E-2</v>
      </c>
      <c r="D222">
        <v>0.95858642262999183</v>
      </c>
      <c r="F222">
        <v>12.363074013385205</v>
      </c>
      <c r="G222">
        <v>0.14904536345603997</v>
      </c>
      <c r="H222">
        <v>2.9059818005400459E-2</v>
      </c>
      <c r="I222">
        <v>0.97421774450715615</v>
      </c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</row>
    <row r="223" spans="1:132" x14ac:dyDescent="0.3">
      <c r="A223">
        <v>10.787679282302635</v>
      </c>
      <c r="B223">
        <v>0.16899730579884401</v>
      </c>
      <c r="C223">
        <v>3.7252814056224923E-2</v>
      </c>
      <c r="D223">
        <v>0.96085531934828972</v>
      </c>
      <c r="F223">
        <v>12.373384322511855</v>
      </c>
      <c r="G223">
        <v>0.14928032715260522</v>
      </c>
      <c r="H223">
        <v>2.7957953667127073E-2</v>
      </c>
      <c r="I223">
        <v>0.97633884428374418</v>
      </c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</row>
    <row r="224" spans="1:132" x14ac:dyDescent="0.3">
      <c r="A224">
        <v>10.792947315093752</v>
      </c>
      <c r="B224">
        <v>0.16938838263463135</v>
      </c>
      <c r="C224">
        <v>3.6049482529936581E-2</v>
      </c>
      <c r="D224">
        <v>0.96312445371361455</v>
      </c>
      <c r="F224">
        <v>12.381887144297396</v>
      </c>
      <c r="G224">
        <v>0.14947250326709954</v>
      </c>
      <c r="H224">
        <v>2.7052413541321138E-2</v>
      </c>
      <c r="I224">
        <v>0.97808234260175886</v>
      </c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</row>
    <row r="225" spans="1:132" x14ac:dyDescent="0.3">
      <c r="A225">
        <v>10.798215347884868</v>
      </c>
      <c r="B225">
        <v>0.16977920330119078</v>
      </c>
      <c r="C225">
        <v>3.4846248711945832E-2</v>
      </c>
      <c r="D225">
        <v>0.96539348274852266</v>
      </c>
      <c r="F225">
        <v>12.390389966082937</v>
      </c>
      <c r="G225">
        <v>0.14966316866925289</v>
      </c>
      <c r="H225">
        <v>2.6149900410847068E-2</v>
      </c>
      <c r="I225">
        <v>0.97982031819628312</v>
      </c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</row>
    <row r="226" spans="1:132" x14ac:dyDescent="0.3">
      <c r="A226">
        <v>10.803483380675985</v>
      </c>
      <c r="B226">
        <v>0.17016968639495181</v>
      </c>
      <c r="C226">
        <v>3.3643315021909814E-2</v>
      </c>
      <c r="D226">
        <v>0.96766203024062203</v>
      </c>
      <c r="F226">
        <v>12.398892787868478</v>
      </c>
      <c r="G226">
        <v>0.1498522546580949</v>
      </c>
      <c r="H226">
        <v>2.5250589324649374E-2</v>
      </c>
      <c r="I226">
        <v>0.98155244512926909</v>
      </c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</row>
    <row r="227" spans="1:132" x14ac:dyDescent="0.3">
      <c r="A227">
        <v>10.808751413467101</v>
      </c>
      <c r="B227">
        <v>0.17055974244907754</v>
      </c>
      <c r="C227">
        <v>3.2440904006851387E-2</v>
      </c>
      <c r="D227">
        <v>0.96992968255837131</v>
      </c>
      <c r="F227">
        <v>12.407395609654019</v>
      </c>
      <c r="G227">
        <v>0.15003968671465728</v>
      </c>
      <c r="H227">
        <v>2.4354670016559551E-2</v>
      </c>
      <c r="I227">
        <v>0.98327837013889097</v>
      </c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</row>
    <row r="228" spans="1:132" x14ac:dyDescent="0.3">
      <c r="A228">
        <v>10.813080064586041</v>
      </c>
      <c r="B228">
        <v>0.17087985606713799</v>
      </c>
      <c r="C228">
        <v>3.145346677671889E-2</v>
      </c>
      <c r="D228">
        <v>0.97179198372961839</v>
      </c>
      <c r="F228">
        <v>12.41589843143956</v>
      </c>
      <c r="G228">
        <v>0.1502253838260714</v>
      </c>
      <c r="H228">
        <v>2.3462348603661341E-2</v>
      </c>
      <c r="I228">
        <v>0.98499770948050669</v>
      </c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</row>
    <row r="229" spans="1:132" x14ac:dyDescent="0.3">
      <c r="A229">
        <v>10.81740871570498</v>
      </c>
      <c r="B229">
        <v>0.17119955516693008</v>
      </c>
      <c r="C229">
        <v>3.0466696482947427E-2</v>
      </c>
      <c r="D229">
        <v>0.97365309680040113</v>
      </c>
      <c r="F229">
        <v>12.424401253225101</v>
      </c>
      <c r="G229">
        <v>0.1504092577100771</v>
      </c>
      <c r="H229">
        <v>2.2573849534308903E-2</v>
      </c>
      <c r="I229">
        <v>0.98671004530333617</v>
      </c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</row>
    <row r="230" spans="1:132" x14ac:dyDescent="0.3">
      <c r="A230">
        <v>10.821737366823919</v>
      </c>
      <c r="B230">
        <v>0.17151877468226603</v>
      </c>
      <c r="C230">
        <v>2.9480755099536082E-2</v>
      </c>
      <c r="D230">
        <v>0.9755127207043307</v>
      </c>
      <c r="F230">
        <v>12.432904075010642</v>
      </c>
      <c r="G230">
        <v>0.15059121192850511</v>
      </c>
      <c r="H230">
        <v>2.168941781444924E-2</v>
      </c>
      <c r="I230">
        <v>0.988414921509575</v>
      </c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</row>
    <row r="231" spans="1:132" x14ac:dyDescent="0.3">
      <c r="A231">
        <v>10.826066017942859</v>
      </c>
      <c r="B231">
        <v>0.17183744373132909</v>
      </c>
      <c r="C231">
        <v>2.8495819109386599E-2</v>
      </c>
      <c r="D231">
        <v>0.97737052740237584</v>
      </c>
      <c r="F231">
        <v>12.439979337143663</v>
      </c>
      <c r="G231">
        <v>0.15074107844598714</v>
      </c>
      <c r="H231">
        <v>2.0956768017535921E-2</v>
      </c>
      <c r="I231">
        <v>0.98982751804475377</v>
      </c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</row>
    <row r="232" spans="1:132" x14ac:dyDescent="0.3">
      <c r="A232">
        <v>10.830394669061798</v>
      </c>
      <c r="B232">
        <v>0.17215548493568109</v>
      </c>
      <c r="C232">
        <v>2.7512081201215885E-2</v>
      </c>
      <c r="D232">
        <v>0.97922615872852015</v>
      </c>
      <c r="F232">
        <v>12.447054599276685</v>
      </c>
      <c r="G232">
        <v>0.15088947659757948</v>
      </c>
      <c r="H232">
        <v>2.0227287708761702E-2</v>
      </c>
      <c r="I232">
        <v>0.99123429197899215</v>
      </c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</row>
    <row r="233" spans="1:132" x14ac:dyDescent="0.3">
      <c r="A233">
        <v>10.834723320180737</v>
      </c>
      <c r="B233">
        <v>0.17247281363663364</v>
      </c>
      <c r="C233">
        <v>2.6529752222023684E-2</v>
      </c>
      <c r="D233">
        <v>0.98107922276040282</v>
      </c>
      <c r="F233">
        <v>12.454129861409706</v>
      </c>
      <c r="G233">
        <v>0.15103633464379415</v>
      </c>
      <c r="H233">
        <v>1.9501158789026495E-2</v>
      </c>
      <c r="I233">
        <v>0.99263490473887706</v>
      </c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</row>
    <row r="234" spans="1:132" x14ac:dyDescent="0.3">
      <c r="A234">
        <v>10.839051971299677</v>
      </c>
      <c r="B234">
        <v>0.17278933699634963</v>
      </c>
      <c r="C234">
        <v>2.5549063416549531E-2</v>
      </c>
      <c r="D234">
        <v>0.9829292896565176</v>
      </c>
      <c r="F234">
        <v>12.461205123542728</v>
      </c>
      <c r="G234">
        <v>0.15118157475921493</v>
      </c>
      <c r="H234">
        <v>1.8778578475683556E-2</v>
      </c>
      <c r="I234">
        <v>0.99402898925830663</v>
      </c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</row>
    <row r="235" spans="1:132" x14ac:dyDescent="0.3">
      <c r="A235">
        <v>10.842631091619388</v>
      </c>
      <c r="B235">
        <v>0.17305037197202294</v>
      </c>
      <c r="C235">
        <v>2.473960538453784E-2</v>
      </c>
      <c r="D235">
        <v>0.98445640842076254</v>
      </c>
      <c r="F235">
        <v>12.468280385675749</v>
      </c>
      <c r="G235">
        <v>0.15132511235118784</v>
      </c>
      <c r="H235">
        <v>1.8059761011522651E-2</v>
      </c>
      <c r="I235">
        <v>0.99541614680011803</v>
      </c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</row>
    <row r="236" spans="1:132" x14ac:dyDescent="0.3">
      <c r="A236">
        <v>10.8462102119391</v>
      </c>
      <c r="B236">
        <v>0.17331072377863577</v>
      </c>
      <c r="C236">
        <v>2.3931598973139557E-2</v>
      </c>
      <c r="D236">
        <v>0.98598086419156694</v>
      </c>
      <c r="F236">
        <v>12.475355647808771</v>
      </c>
      <c r="G236">
        <v>0.15146685528417891</v>
      </c>
      <c r="H236">
        <v>1.7344939609946111E-2</v>
      </c>
      <c r="I236">
        <v>0.99679594333850263</v>
      </c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</row>
    <row r="237" spans="1:132" x14ac:dyDescent="0.3">
      <c r="A237">
        <v>10.849789332258812</v>
      </c>
      <c r="B237">
        <v>0.17357032401594585</v>
      </c>
      <c r="C237">
        <v>2.312521459545059E-2</v>
      </c>
      <c r="D237">
        <v>0.98750234019682415</v>
      </c>
      <c r="F237">
        <v>12.482430909941792</v>
      </c>
      <c r="G237">
        <v>0.15160670300040244</v>
      </c>
      <c r="H237">
        <v>1.6634368659865673E-2</v>
      </c>
      <c r="I237">
        <v>0.99816790545845824</v>
      </c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</row>
    <row r="238" spans="1:132" x14ac:dyDescent="0.3">
      <c r="A238">
        <v>10.853368452578524</v>
      </c>
      <c r="B238">
        <v>0.1738290982935326</v>
      </c>
      <c r="C238">
        <v>2.2320637596538604E-2</v>
      </c>
      <c r="D238">
        <v>0.98902049190703001</v>
      </c>
      <c r="F238">
        <v>12.489506172074814</v>
      </c>
      <c r="G238">
        <v>0.15174454552136413</v>
      </c>
      <c r="H238">
        <v>1.5928326228744932E-2</v>
      </c>
      <c r="I238">
        <v>0.99953151570082821</v>
      </c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</row>
    <row r="239" spans="1:132" x14ac:dyDescent="0.3">
      <c r="A239">
        <v>10.856947572898235</v>
      </c>
      <c r="B239">
        <v>0.1740869655467398</v>
      </c>
      <c r="C239">
        <v>2.1518069956921685E-2</v>
      </c>
      <c r="D239">
        <v>0.99053494386888596</v>
      </c>
      <c r="F239">
        <v>12.495323254598819</v>
      </c>
      <c r="G239">
        <v>0.15185628918612859</v>
      </c>
      <c r="H239">
        <v>1.5351443785145096E-2</v>
      </c>
      <c r="I239">
        <v>1.0006459840659192</v>
      </c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</row>
    <row r="240" spans="1:132" x14ac:dyDescent="0.3">
      <c r="A240">
        <v>10.860526693217947</v>
      </c>
      <c r="B240">
        <v>0.17434383725369362</v>
      </c>
      <c r="C240">
        <v>2.0717732242244713E-2</v>
      </c>
      <c r="D240">
        <v>0.9920452860812945</v>
      </c>
      <c r="F240">
        <v>12.501140337122825</v>
      </c>
      <c r="G240">
        <v>0.15196652321932472</v>
      </c>
      <c r="H240">
        <v>1.4778012014034747E-2</v>
      </c>
      <c r="I240">
        <v>1.0017540819731328</v>
      </c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</row>
    <row r="241" spans="1:132" x14ac:dyDescent="0.3">
      <c r="A241">
        <v>10.864105813537659</v>
      </c>
      <c r="B241">
        <v>0.17459961654222642</v>
      </c>
      <c r="C241">
        <v>1.9919865826937187E-2</v>
      </c>
      <c r="D241">
        <v>0.99355106986210884</v>
      </c>
      <c r="F241">
        <v>12.506957419646831</v>
      </c>
      <c r="G241">
        <v>0.1520751687210106</v>
      </c>
      <c r="H241">
        <v>1.4208230113958505E-2</v>
      </c>
      <c r="I241">
        <v>1.0028554387718589</v>
      </c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</row>
    <row r="242" spans="1:132" x14ac:dyDescent="0.3">
      <c r="A242">
        <v>10.867684933857371</v>
      </c>
      <c r="B242">
        <v>0.17485419716870018</v>
      </c>
      <c r="C242">
        <v>1.9124735436643735E-2</v>
      </c>
      <c r="D242">
        <v>0.99505180312238584</v>
      </c>
      <c r="F242">
        <v>12.512774502170837</v>
      </c>
      <c r="G242">
        <v>0.1521821402143114</v>
      </c>
      <c r="H242">
        <v>1.3642313797090662E-2</v>
      </c>
      <c r="I242">
        <v>1.003949653097117</v>
      </c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</row>
    <row r="243" spans="1:132" x14ac:dyDescent="0.3">
      <c r="A243">
        <v>10.870587937218639</v>
      </c>
      <c r="B243">
        <v>0.17505972562191238</v>
      </c>
      <c r="C243">
        <v>1.8482018751138724E-2</v>
      </c>
      <c r="D243">
        <v>0.99626495898734957</v>
      </c>
      <c r="F243">
        <v>12.518591584694843</v>
      </c>
      <c r="G243">
        <v>0.15228734495865848</v>
      </c>
      <c r="H243">
        <v>1.3080497009634299E-2</v>
      </c>
      <c r="I243">
        <v>1.0050362896702678</v>
      </c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</row>
    <row r="244" spans="1:132" x14ac:dyDescent="0.3">
      <c r="A244">
        <v>10.873490940579908</v>
      </c>
      <c r="B244">
        <v>0.17526432090673205</v>
      </c>
      <c r="C244">
        <v>1.784146231782776E-2</v>
      </c>
      <c r="D244">
        <v>0.99747412251214329</v>
      </c>
      <c r="F244">
        <v>12.524408667218848</v>
      </c>
      <c r="G244">
        <v>0.15239068217928001</v>
      </c>
      <c r="H244">
        <v>1.2523033861784997E-2</v>
      </c>
      <c r="I244">
        <v>1.0061148757100478</v>
      </c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</row>
    <row r="245" spans="1:132" x14ac:dyDescent="0.3">
      <c r="A245">
        <v>10.876393943941176</v>
      </c>
      <c r="B245">
        <v>0.17546790933491338</v>
      </c>
      <c r="C245">
        <v>1.7203249737527324E-2</v>
      </c>
      <c r="D245">
        <v>0.99867895240883364</v>
      </c>
      <c r="F245">
        <v>12.530225749742854</v>
      </c>
      <c r="G245">
        <v>0.15249204220896015</v>
      </c>
      <c r="H245">
        <v>1.1970200777263445E-2</v>
      </c>
      <c r="I245">
        <v>1.0071848969353199</v>
      </c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</row>
    <row r="246" spans="1:132" x14ac:dyDescent="0.3">
      <c r="A246">
        <v>10.879296947302445</v>
      </c>
      <c r="B246">
        <v>0.17567041092902325</v>
      </c>
      <c r="C246">
        <v>1.6567580276572322E-2</v>
      </c>
      <c r="D246">
        <v>0.99987907827014832</v>
      </c>
      <c r="F246">
        <v>12.53604283226686</v>
      </c>
      <c r="G246">
        <v>0.15259130553331332</v>
      </c>
      <c r="H246">
        <v>1.1422298884357739E-2</v>
      </c>
      <c r="I246">
        <v>1.0082457931187339</v>
      </c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</row>
    <row r="247" spans="1:132" x14ac:dyDescent="0.3">
      <c r="A247">
        <v>10.882199950663713</v>
      </c>
      <c r="B247">
        <v>0.17587173873686174</v>
      </c>
      <c r="C247">
        <v>1.593467057318277E-2</v>
      </c>
      <c r="D247">
        <v>1.0010740973978376</v>
      </c>
      <c r="F247">
        <v>12.541859914790866</v>
      </c>
      <c r="G247">
        <v>0.15268834172751486</v>
      </c>
      <c r="H247">
        <v>1.0879656678680034E-2</v>
      </c>
      <c r="I247">
        <v>1.0092969531351283</v>
      </c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</row>
    <row r="248" spans="1:132" x14ac:dyDescent="0.3">
      <c r="A248">
        <v>10.885102954024982</v>
      </c>
      <c r="B248">
        <v>0.17607179805372844</v>
      </c>
      <c r="C248">
        <v>1.5304756573096056E-2</v>
      </c>
      <c r="D248">
        <v>1.0022635712049128</v>
      </c>
      <c r="F248">
        <v>12.547676997314872</v>
      </c>
      <c r="G248">
        <v>0.1527830082733683</v>
      </c>
      <c r="H248">
        <v>1.0342632985513278E-2</v>
      </c>
      <c r="I248">
        <v>1.0103377094528367</v>
      </c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</row>
    <row r="249" spans="1:132" x14ac:dyDescent="0.3">
      <c r="A249">
        <v>10.88800595738625</v>
      </c>
      <c r="B249">
        <v>0.1762704855454944</v>
      </c>
      <c r="C249">
        <v>1.4678095711976218E-2</v>
      </c>
      <c r="D249">
        <v>1.0034470211592148</v>
      </c>
      <c r="F249">
        <v>12.553494079838877</v>
      </c>
      <c r="G249">
        <v>0.15287514924827023</v>
      </c>
      <c r="H249">
        <v>9.8116202429587695E-3</v>
      </c>
      <c r="I249">
        <v>1.0113673320284386</v>
      </c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</row>
    <row r="250" spans="1:132" x14ac:dyDescent="0.3">
      <c r="A250">
        <v>10.890908960747518</v>
      </c>
      <c r="B250">
        <v>0.17646768825895526</v>
      </c>
      <c r="C250">
        <v>1.4054969378237839E-2</v>
      </c>
      <c r="D250">
        <v>1.0046239242057913</v>
      </c>
      <c r="F250">
        <v>12.558316166672437</v>
      </c>
      <c r="G250">
        <v>0.15294949366375454</v>
      </c>
      <c r="H250">
        <v>9.3762982840280458E-3</v>
      </c>
      <c r="I250">
        <v>1.0122118314935216</v>
      </c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</row>
    <row r="251" spans="1:132" x14ac:dyDescent="0.3">
      <c r="A251">
        <v>10.893324441841221</v>
      </c>
      <c r="B251">
        <v>0.17663055296943592</v>
      </c>
      <c r="C251">
        <v>1.353940394830928E-2</v>
      </c>
      <c r="D251">
        <v>1.0055977809757959</v>
      </c>
      <c r="F251">
        <v>12.563138253505997</v>
      </c>
      <c r="G251">
        <v>0.15302187979140899</v>
      </c>
      <c r="H251">
        <v>8.9456673511630214E-3</v>
      </c>
      <c r="I251">
        <v>1.0130476375710264</v>
      </c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</row>
    <row r="252" spans="1:132" x14ac:dyDescent="0.3">
      <c r="A252">
        <v>10.895739922934924</v>
      </c>
      <c r="B252">
        <v>0.17679222677649831</v>
      </c>
      <c r="C252">
        <v>1.3026691485052991E-2</v>
      </c>
      <c r="D252">
        <v>1.0065663506134916</v>
      </c>
      <c r="F252">
        <v>12.567960340339557</v>
      </c>
      <c r="G252">
        <v>0.15309219343989117</v>
      </c>
      <c r="H252">
        <v>8.520014600741586E-3</v>
      </c>
      <c r="I252">
        <v>1.0138742161054863</v>
      </c>
      <c r="T252" s="38"/>
      <c r="U252" s="7"/>
      <c r="V252" s="7"/>
      <c r="W252" s="7"/>
      <c r="BA252" s="40"/>
      <c r="BL252" s="40"/>
      <c r="BW252" s="40"/>
      <c r="CH252" s="40"/>
      <c r="CS252" s="40"/>
    </row>
    <row r="253" spans="1:132" x14ac:dyDescent="0.3">
      <c r="A253">
        <v>10.898155404028627</v>
      </c>
      <c r="B253">
        <v>0.17695262582135152</v>
      </c>
      <c r="C253">
        <v>1.2517040870943892E-2</v>
      </c>
      <c r="D253">
        <v>1.0075292448442699</v>
      </c>
      <c r="F253">
        <v>12.572782427173117</v>
      </c>
      <c r="G253">
        <v>0.15316031128624735</v>
      </c>
      <c r="H253">
        <v>8.0996500797855791E-3</v>
      </c>
      <c r="I253">
        <v>1.0146909903714298</v>
      </c>
      <c r="T253" s="38"/>
      <c r="U253" s="7"/>
      <c r="V253" s="7"/>
      <c r="W253" s="7"/>
      <c r="BA253" s="40"/>
      <c r="BL253" s="40"/>
      <c r="BW253" s="40"/>
      <c r="CH253" s="40"/>
      <c r="CS253" s="40"/>
    </row>
    <row r="254" spans="1:132" x14ac:dyDescent="0.3">
      <c r="A254">
        <v>10.900570885122329</v>
      </c>
      <c r="B254">
        <v>0.17711165929422235</v>
      </c>
      <c r="C254">
        <v>1.2010678293146764E-2</v>
      </c>
      <c r="D254">
        <v>1.0084860432285714</v>
      </c>
      <c r="F254">
        <v>12.577604514006676</v>
      </c>
      <c r="G254">
        <v>0.15322610012910787</v>
      </c>
      <c r="H254">
        <v>7.6849085975824426E-3</v>
      </c>
      <c r="I254">
        <v>1.0154973375927636</v>
      </c>
      <c r="T254" s="38"/>
      <c r="U254" s="7"/>
      <c r="V254" s="7"/>
      <c r="W254" s="7"/>
      <c r="BA254" s="40"/>
      <c r="BL254" s="40"/>
      <c r="BW254" s="40"/>
      <c r="CH254" s="40"/>
      <c r="CS254" s="40"/>
    </row>
    <row r="255" spans="1:132" x14ac:dyDescent="0.3">
      <c r="A255">
        <v>10.902986366216032</v>
      </c>
      <c r="B255">
        <v>0.17726922873414969</v>
      </c>
      <c r="C255">
        <v>1.1507848985756904E-2</v>
      </c>
      <c r="D255">
        <v>1.0094362899236433</v>
      </c>
      <c r="F255">
        <v>12.582426600840236</v>
      </c>
      <c r="G255">
        <v>0.1532894161114598</v>
      </c>
      <c r="H255">
        <v>7.2761516743178444E-3</v>
      </c>
      <c r="I255">
        <v>1.0162925853188323</v>
      </c>
      <c r="T255" s="38"/>
      <c r="U255" s="7"/>
      <c r="V255" s="7"/>
      <c r="W255" s="7"/>
      <c r="BA255" s="40"/>
      <c r="BL255" s="40"/>
      <c r="BW255" s="40"/>
      <c r="CH255" s="40"/>
      <c r="CS255" s="40"/>
    </row>
    <row r="256" spans="1:132" x14ac:dyDescent="0.3">
      <c r="A256">
        <v>10.905401847309735</v>
      </c>
      <c r="B256">
        <v>0.17742522724971135</v>
      </c>
      <c r="C256">
        <v>1.1008819168738681E-2</v>
      </c>
      <c r="D256">
        <v>1.0103794900797072</v>
      </c>
      <c r="F256">
        <v>12.587248687673796</v>
      </c>
      <c r="G256">
        <v>0.15335010393292731</v>
      </c>
      <c r="H256">
        <v>6.8737695172116477E-3</v>
      </c>
      <c r="I256">
        <v>1.0170760077491618</v>
      </c>
      <c r="T256" s="38"/>
      <c r="U256" s="7"/>
      <c r="V256" s="7"/>
      <c r="W256" s="7"/>
      <c r="BA256" s="40"/>
      <c r="BL256" s="40"/>
      <c r="BW256" s="40"/>
      <c r="CH256" s="40"/>
      <c r="CS256" s="40"/>
    </row>
    <row r="257" spans="1:97" x14ac:dyDescent="0.3">
      <c r="A257">
        <v>10.907817328403437</v>
      </c>
      <c r="B257">
        <v>0.17757953865840695</v>
      </c>
      <c r="C257">
        <v>1.0513878189236608E-2</v>
      </c>
      <c r="D257">
        <v>1.0113151058599867</v>
      </c>
      <c r="F257">
        <v>12.593319700833254</v>
      </c>
      <c r="G257">
        <v>0.15342251254877831</v>
      </c>
      <c r="H257">
        <v>6.3768884203933016E-3</v>
      </c>
      <c r="I257">
        <v>1.0180443062462243</v>
      </c>
      <c r="T257" s="38"/>
      <c r="U257" s="7"/>
      <c r="V257" s="7"/>
      <c r="W257" s="7"/>
      <c r="BA257" s="40"/>
      <c r="BL257" s="40"/>
      <c r="BW257" s="40"/>
      <c r="CH257" s="40"/>
      <c r="CS257" s="40"/>
    </row>
    <row r="258" spans="1:97" x14ac:dyDescent="0.3">
      <c r="A258">
        <v>10.91023280949714</v>
      </c>
      <c r="B258">
        <v>0.17773203653882116</v>
      </c>
      <c r="C258">
        <v>1.0023340879889736E-2</v>
      </c>
      <c r="D258">
        <v>1.0122425520574014</v>
      </c>
      <c r="F258">
        <v>12.599390713992712</v>
      </c>
      <c r="G258">
        <v>0.15349012508886795</v>
      </c>
      <c r="H258">
        <v>5.8916949629412921E-3</v>
      </c>
      <c r="I258">
        <v>1.0189909160845301</v>
      </c>
      <c r="T258" s="38"/>
      <c r="U258" s="7"/>
      <c r="V258" s="7"/>
      <c r="W258" s="7"/>
      <c r="BA258" s="40"/>
      <c r="BL258" s="40"/>
      <c r="BW258" s="40"/>
      <c r="CH258" s="40"/>
      <c r="CS258" s="40"/>
    </row>
    <row r="259" spans="1:97" x14ac:dyDescent="0.3">
      <c r="A259">
        <v>10.912648290590843</v>
      </c>
      <c r="B259">
        <v>0.1778825831876357</v>
      </c>
      <c r="C259">
        <v>9.5375501539016073E-3</v>
      </c>
      <c r="D259">
        <v>1.0131611912712113</v>
      </c>
      <c r="F259">
        <v>12.60372858008509</v>
      </c>
      <c r="G259">
        <v>0.15353527860138075</v>
      </c>
      <c r="H259">
        <v>5.5527239431149783E-3</v>
      </c>
      <c r="I259">
        <v>1.019652979138949</v>
      </c>
      <c r="T259" s="38"/>
      <c r="U259" s="7"/>
      <c r="V259" s="7"/>
      <c r="W259" s="7"/>
      <c r="BA259" s="40"/>
      <c r="BL259" s="40"/>
      <c r="BW259" s="40"/>
      <c r="CH259" s="40"/>
      <c r="CS259" s="40"/>
    </row>
    <row r="260" spans="1:97" x14ac:dyDescent="0.3">
      <c r="A260">
        <v>10.915063771684546</v>
      </c>
      <c r="B260">
        <v>0.17803102847570235</v>
      </c>
      <c r="C260">
        <v>9.0568798512955292E-3</v>
      </c>
      <c r="D260">
        <v>1.0140703286167867</v>
      </c>
      <c r="F260">
        <v>12.608066446177467</v>
      </c>
      <c r="G260">
        <v>0.1535776244966032</v>
      </c>
      <c r="H260">
        <v>5.2206216226272101E-3</v>
      </c>
      <c r="I260">
        <v>1.0203022921401048</v>
      </c>
      <c r="T260" s="38"/>
      <c r="U260" s="7"/>
      <c r="V260" s="7"/>
      <c r="W260" s="7"/>
      <c r="BA260" s="40"/>
      <c r="BL260" s="40"/>
      <c r="BW260" s="40"/>
      <c r="CH260" s="40"/>
      <c r="CS260" s="40"/>
    </row>
    <row r="261" spans="1:97" x14ac:dyDescent="0.3">
      <c r="A261">
        <v>10.917479252778248</v>
      </c>
      <c r="B261">
        <v>0.17817720860157366</v>
      </c>
      <c r="C261">
        <v>8.5817378403978111E-3</v>
      </c>
      <c r="D261">
        <v>1.0149692059609841</v>
      </c>
      <c r="F261">
        <v>12.612404312269845</v>
      </c>
      <c r="G261">
        <v>0.1536169968646397</v>
      </c>
      <c r="H261">
        <v>4.8958046652757001E-3</v>
      </c>
      <c r="I261">
        <v>1.0209380801053818</v>
      </c>
      <c r="T261" s="38"/>
      <c r="U261" s="7"/>
      <c r="V261" s="7"/>
      <c r="W261" s="7"/>
      <c r="BA261" s="40"/>
      <c r="BL261" s="40"/>
      <c r="BW261" s="40"/>
      <c r="CH261" s="40"/>
      <c r="CS261" s="40"/>
    </row>
    <row r="262" spans="1:97" x14ac:dyDescent="0.3">
      <c r="A262">
        <v>10.919894733871951</v>
      </c>
      <c r="B262">
        <v>0.17832094474528412</v>
      </c>
      <c r="C262">
        <v>8.1125693676766582E-3</v>
      </c>
      <c r="D262">
        <v>1.0158569956958883</v>
      </c>
      <c r="F262">
        <v>12.616332182248621</v>
      </c>
      <c r="G262">
        <v>0.15364993642034105</v>
      </c>
      <c r="H262">
        <v>4.6083403642702709E-3</v>
      </c>
      <c r="I262">
        <v>1.0215014249636376</v>
      </c>
      <c r="S262" s="7"/>
      <c r="T262" s="7"/>
      <c r="U262" s="7"/>
      <c r="V262" s="7"/>
      <c r="W262" s="7"/>
      <c r="BA262" s="40"/>
      <c r="BL262" s="40"/>
      <c r="BW262" s="40"/>
      <c r="CH262" s="40"/>
      <c r="CS262" s="40"/>
    </row>
    <row r="263" spans="1:97" x14ac:dyDescent="0.3">
      <c r="A263">
        <v>10.922310214965654</v>
      </c>
      <c r="B263">
        <v>0.17846204163064891</v>
      </c>
      <c r="C263">
        <v>7.6498606354823287E-3</v>
      </c>
      <c r="D263">
        <v>1.0167327940889237</v>
      </c>
      <c r="F263">
        <v>12.61948244946192</v>
      </c>
      <c r="G263">
        <v>0.1536743973844617</v>
      </c>
      <c r="H263">
        <v>4.3825936696751475E-3</v>
      </c>
      <c r="I263">
        <v>1.0219443162471122</v>
      </c>
      <c r="S263" s="7"/>
      <c r="T263" s="7"/>
      <c r="U263" s="7"/>
      <c r="V263" s="7"/>
      <c r="W263" s="7"/>
      <c r="BA263" s="40"/>
      <c r="BL263" s="40"/>
      <c r="BW263" s="40"/>
      <c r="CH263" s="40"/>
      <c r="CS263" s="40"/>
    </row>
    <row r="264" spans="1:97" x14ac:dyDescent="0.3">
      <c r="A264">
        <v>10.924725696059356</v>
      </c>
      <c r="B264">
        <v>0.17860028601294795</v>
      </c>
      <c r="C264">
        <v>7.194142565882993E-3</v>
      </c>
      <c r="D264">
        <v>1.0175956142870139</v>
      </c>
      <c r="F264">
        <v>12.622632716675218</v>
      </c>
      <c r="G264">
        <v>0.15369703694799661</v>
      </c>
      <c r="H264">
        <v>4.1613251437485196E-3</v>
      </c>
      <c r="I264">
        <v>1.0223788917191223</v>
      </c>
      <c r="S264" s="7"/>
      <c r="T264" s="7"/>
      <c r="U264" s="7"/>
      <c r="V264" s="7"/>
      <c r="W264" s="7"/>
      <c r="BA264" s="40"/>
      <c r="BL264" s="40"/>
      <c r="BW264" s="40"/>
      <c r="CH264" s="40"/>
      <c r="CS264" s="40"/>
    </row>
    <row r="265" spans="1:97" x14ac:dyDescent="0.3">
      <c r="A265">
        <v>10.927141177153059</v>
      </c>
      <c r="B265">
        <v>0.17873544512207976</v>
      </c>
      <c r="C265">
        <v>6.7459946759789681E-3</v>
      </c>
      <c r="D265">
        <v>1.0184443791134441</v>
      </c>
      <c r="E265" s="26"/>
      <c r="F265">
        <v>12.625782983888516</v>
      </c>
      <c r="G265">
        <v>0.15371777990859012</v>
      </c>
      <c r="H265">
        <v>3.944723723671298E-3</v>
      </c>
      <c r="I265">
        <v>1.0228047999514682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16"/>
      <c r="AF265" s="26"/>
      <c r="AG265" s="26"/>
    </row>
    <row r="266" spans="1:97" x14ac:dyDescent="0.3">
      <c r="A266">
        <v>10.929556658246762</v>
      </c>
      <c r="B266">
        <v>0.17886726511002463</v>
      </c>
      <c r="C266">
        <v>6.3060489435067908E-3</v>
      </c>
      <c r="D266">
        <v>1.0192779138826278</v>
      </c>
      <c r="E266" s="26"/>
      <c r="F266">
        <v>12.62824189134173</v>
      </c>
      <c r="G266">
        <v>0.15373260307845785</v>
      </c>
      <c r="H266">
        <v>3.779025549235095E-3</v>
      </c>
      <c r="I266">
        <v>1.0231309834856039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16"/>
      <c r="AF266" s="26"/>
      <c r="AG266" s="26"/>
    </row>
    <row r="267" spans="1:97" x14ac:dyDescent="0.3">
      <c r="A267">
        <v>10.932167999852668</v>
      </c>
      <c r="B267">
        <v>0.17900569767876975</v>
      </c>
      <c r="C267">
        <v>5.8404530790445502E-3</v>
      </c>
      <c r="D267">
        <v>1.0201604234915436</v>
      </c>
      <c r="E267" s="26"/>
      <c r="F267">
        <v>12.630700798794944</v>
      </c>
      <c r="G267">
        <v>0.15374618652956823</v>
      </c>
      <c r="H267">
        <v>3.6163824483669629E-3</v>
      </c>
      <c r="I267">
        <v>1.0234514928403664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16"/>
      <c r="AF267" s="26"/>
      <c r="AG267" s="26"/>
    </row>
    <row r="268" spans="1:97" s="7" customFormat="1" x14ac:dyDescent="0.3">
      <c r="A268">
        <v>10.934087338885123</v>
      </c>
      <c r="B268">
        <v>0.17910453122677947</v>
      </c>
      <c r="C268">
        <v>5.5054129606898804E-3</v>
      </c>
      <c r="D268">
        <v>1.0207957472638696</v>
      </c>
      <c r="F268">
        <v>12.633159706248158</v>
      </c>
      <c r="G268">
        <v>0.15375849253740398</v>
      </c>
      <c r="H268">
        <v>3.456889263293338E-3</v>
      </c>
      <c r="I268">
        <v>1.0237661515977581</v>
      </c>
      <c r="T268" s="41"/>
      <c r="U268" s="41"/>
      <c r="V268" s="41"/>
    </row>
    <row r="269" spans="1:97" x14ac:dyDescent="0.3">
      <c r="A269">
        <v>10.936006677917577</v>
      </c>
      <c r="B269">
        <v>0.17920071404450585</v>
      </c>
      <c r="C269">
        <v>5.176902028917984E-3</v>
      </c>
      <c r="D269">
        <v>1.021418944836513</v>
      </c>
      <c r="F269">
        <v>12.635618613701372</v>
      </c>
      <c r="G269">
        <v>0.15376948309193084</v>
      </c>
      <c r="H269">
        <v>3.3006415819559626E-3</v>
      </c>
      <c r="I269">
        <v>1.0240747819487575</v>
      </c>
    </row>
    <row r="270" spans="1:97" s="7" customFormat="1" x14ac:dyDescent="0.3">
      <c r="A270">
        <v>10.937926016950032</v>
      </c>
      <c r="B270">
        <v>0.17929407330142988</v>
      </c>
      <c r="C270">
        <v>4.8553505538343296E-3</v>
      </c>
      <c r="D270">
        <v>1.0220292164479952</v>
      </c>
      <c r="F270">
        <v>12.638077521154585</v>
      </c>
      <c r="G270">
        <v>0.15377912008105163</v>
      </c>
      <c r="H270">
        <v>3.1477352830413538E-3</v>
      </c>
      <c r="I270">
        <v>1.0243772055387459</v>
      </c>
    </row>
    <row r="271" spans="1:97" x14ac:dyDescent="0.3">
      <c r="A271">
        <v>10.939845355982486</v>
      </c>
      <c r="B271">
        <v>0.17938442617183228</v>
      </c>
      <c r="C271">
        <v>4.541213699128255E-3</v>
      </c>
      <c r="D271">
        <v>1.022625716064649</v>
      </c>
      <c r="F271">
        <v>12.64046184088903</v>
      </c>
      <c r="G271">
        <v>0.15378713622541615</v>
      </c>
      <c r="H271">
        <v>3.0027484825784663E-3</v>
      </c>
      <c r="I271">
        <v>1.0246643601289036</v>
      </c>
    </row>
    <row r="272" spans="1:97" x14ac:dyDescent="0.3">
      <c r="A272">
        <v>10.941279287918581</v>
      </c>
      <c r="B272">
        <v>0.17944985175589809</v>
      </c>
      <c r="C272">
        <v>4.3116476312878103E-3</v>
      </c>
      <c r="D272">
        <v>1.0230618402032667</v>
      </c>
      <c r="F272">
        <v>12.642341407878963</v>
      </c>
      <c r="G272">
        <v>0.15379251058409177</v>
      </c>
      <c r="H272">
        <v>2.8907895413081892E-3</v>
      </c>
      <c r="I272">
        <v>1.0248863880286432</v>
      </c>
    </row>
    <row r="273" spans="1:9" x14ac:dyDescent="0.3">
      <c r="A273">
        <v>10.942713219854676</v>
      </c>
      <c r="B273">
        <v>0.17951340846164601</v>
      </c>
      <c r="C273">
        <v>4.0866952332137335E-3</v>
      </c>
      <c r="D273">
        <v>1.0234893942245604</v>
      </c>
      <c r="F273">
        <v>12.644220974868896</v>
      </c>
      <c r="G273">
        <v>0.15379703388481061</v>
      </c>
      <c r="H273">
        <v>2.7809344743158688E-3</v>
      </c>
      <c r="I273">
        <v>1.0251045074685416</v>
      </c>
    </row>
    <row r="274" spans="1:9" x14ac:dyDescent="0.3">
      <c r="A274">
        <v>10.943871343266878</v>
      </c>
      <c r="B274">
        <v>0.17956331736351305</v>
      </c>
      <c r="C274">
        <v>3.9085254101918878E-3</v>
      </c>
      <c r="D274">
        <v>1.0238281825734474</v>
      </c>
      <c r="F274">
        <v>12.645721636638044</v>
      </c>
      <c r="G274">
        <v>0.15380002335647219</v>
      </c>
      <c r="H274">
        <v>2.6947633663072989E-3</v>
      </c>
      <c r="I274">
        <v>1.0252757983870244</v>
      </c>
    </row>
    <row r="275" spans="1:9" x14ac:dyDescent="0.3">
      <c r="A275">
        <v>10.945029466679079</v>
      </c>
      <c r="B275">
        <v>0.17961190455155407</v>
      </c>
      <c r="C275">
        <v>3.7336206668135588E-3</v>
      </c>
      <c r="D275">
        <v>1.024160905565743</v>
      </c>
      <c r="F275">
        <v>12.647222298407192</v>
      </c>
      <c r="G275">
        <v>0.15380245173485363</v>
      </c>
      <c r="H275">
        <v>2.6099802361058948E-3</v>
      </c>
      <c r="I275">
        <v>1.0254445106676964</v>
      </c>
    </row>
    <row r="276" spans="1:9" x14ac:dyDescent="0.3">
      <c r="A276">
        <v>10.946187590091281</v>
      </c>
      <c r="B276">
        <v>0.17965912274935977</v>
      </c>
      <c r="C276">
        <v>3.5620987317315608E-3</v>
      </c>
      <c r="D276">
        <v>1.0244873443696785</v>
      </c>
      <c r="F276">
        <v>12.64872296017634</v>
      </c>
      <c r="G276">
        <v>0.15380431103636108</v>
      </c>
      <c r="H276">
        <v>2.5266052321435417E-3</v>
      </c>
      <c r="I276">
        <v>1.0256106068212578</v>
      </c>
    </row>
    <row r="277" spans="1:9" x14ac:dyDescent="0.3">
      <c r="A277">
        <v>10.947345713503482</v>
      </c>
      <c r="B277">
        <v>0.17970492404940505</v>
      </c>
      <c r="C277">
        <v>3.3940789141758245E-3</v>
      </c>
      <c r="D277">
        <v>1.024807277214274</v>
      </c>
      <c r="F277">
        <v>12.650223621945488</v>
      </c>
      <c r="G277">
        <v>0.15380559347467823</v>
      </c>
      <c r="H277">
        <v>2.4446580179165516E-3</v>
      </c>
      <c r="I277">
        <v>1.0257740502589037</v>
      </c>
    </row>
    <row r="278" spans="1:9" x14ac:dyDescent="0.3">
      <c r="A278">
        <v>10.948289571359121</v>
      </c>
      <c r="B278">
        <v>0.1797411701316676</v>
      </c>
      <c r="C278">
        <v>3.2598183016435897E-3</v>
      </c>
      <c r="D278">
        <v>1.0250630519004096</v>
      </c>
      <c r="F278">
        <v>12.651467546764039</v>
      </c>
      <c r="G278">
        <v>0.15380621382157156</v>
      </c>
      <c r="H278">
        <v>2.3778265144321197E-3</v>
      </c>
      <c r="I278">
        <v>1.0259074951105482</v>
      </c>
    </row>
    <row r="279" spans="1:9" x14ac:dyDescent="0.3">
      <c r="A279">
        <v>10.949233429214759</v>
      </c>
      <c r="B279">
        <v>0.17977641675816775</v>
      </c>
      <c r="C279">
        <v>3.1280291355903524E-3</v>
      </c>
      <c r="D279">
        <v>1.0253142351688633</v>
      </c>
      <c r="F279">
        <v>12.65271147158259</v>
      </c>
      <c r="G279">
        <v>0.15380642843956249</v>
      </c>
      <c r="H279">
        <v>2.3119997250237449E-3</v>
      </c>
      <c r="I279">
        <v>1.0260390732153715</v>
      </c>
    </row>
    <row r="280" spans="1:9" x14ac:dyDescent="0.3">
      <c r="A280">
        <v>10.950177287070398</v>
      </c>
      <c r="B280">
        <v>0.17981063772007685</v>
      </c>
      <c r="C280">
        <v>2.9987767057973258E-3</v>
      </c>
      <c r="D280">
        <v>1.0255607056568448</v>
      </c>
      <c r="F280">
        <v>12.653955396401141</v>
      </c>
      <c r="G280">
        <v>0.15380623330071277</v>
      </c>
      <c r="H280">
        <v>2.2471878467047401E-3</v>
      </c>
      <c r="I280">
        <v>1.0261687655958383</v>
      </c>
    </row>
    <row r="281" spans="1:9" x14ac:dyDescent="0.3">
      <c r="A281">
        <v>10.951121144926036</v>
      </c>
      <c r="B281">
        <v>0.17984380695321331</v>
      </c>
      <c r="C281">
        <v>2.8721259495279902E-3</v>
      </c>
      <c r="D281">
        <v>1.0258023426557303</v>
      </c>
      <c r="F281">
        <v>12.655199321219692</v>
      </c>
      <c r="G281">
        <v>0.15380562452258092</v>
      </c>
      <c r="H281">
        <v>2.1834007173107701E-3</v>
      </c>
      <c r="I281">
        <v>1.0262965539416027</v>
      </c>
    </row>
    <row r="282" spans="1:9" x14ac:dyDescent="0.3">
      <c r="A282">
        <v>10.952065002781675</v>
      </c>
      <c r="B282">
        <v>0.17987589867072543</v>
      </c>
      <c r="C282">
        <v>2.7481411222138818E-3</v>
      </c>
      <c r="D282">
        <v>1.0260390267230335</v>
      </c>
    </row>
    <row r="283" spans="1:9" x14ac:dyDescent="0.3">
      <c r="A283">
        <v>10.953008860637313</v>
      </c>
      <c r="B283">
        <v>0.1799068875120379</v>
      </c>
      <c r="C283">
        <v>2.6268854277444829E-3</v>
      </c>
      <c r="D283">
        <v>1.0262706403694439</v>
      </c>
    </row>
    <row r="284" spans="1:9" x14ac:dyDescent="0.3">
      <c r="A284">
        <v>10.953966276646092</v>
      </c>
      <c r="B284">
        <v>0.17993716930174819</v>
      </c>
      <c r="C284">
        <v>2.5067395773082845E-3</v>
      </c>
      <c r="D284">
        <v>1.0265002829742682</v>
      </c>
    </row>
    <row r="285" spans="1:9" x14ac:dyDescent="0.3">
      <c r="A285">
        <v>10.954923692654871</v>
      </c>
      <c r="B285">
        <v>0.17996626572827046</v>
      </c>
      <c r="C285">
        <v>2.3895279116249294E-3</v>
      </c>
      <c r="D285">
        <v>1.0267244740623078</v>
      </c>
    </row>
    <row r="286" spans="1:9" x14ac:dyDescent="0.3">
      <c r="A286">
        <v>10.95588110866365</v>
      </c>
      <c r="B286">
        <v>0.1799941527126587</v>
      </c>
      <c r="C286">
        <v>2.2753104847634226E-3</v>
      </c>
      <c r="D286">
        <v>1.0269431019931876</v>
      </c>
    </row>
    <row r="287" spans="1:9" x14ac:dyDescent="0.3">
      <c r="A287">
        <v>10.956838524672429</v>
      </c>
      <c r="B287">
        <v>0.18002080737021559</v>
      </c>
      <c r="C287">
        <v>2.1641443930079402E-3</v>
      </c>
      <c r="D287">
        <v>1.0271560606221244</v>
      </c>
    </row>
    <row r="288" spans="1:9" x14ac:dyDescent="0.3">
      <c r="A288">
        <v>10.957795940681208</v>
      </c>
      <c r="B288">
        <v>0.18004620822429304</v>
      </c>
      <c r="C288">
        <v>2.0560832439664787E-3</v>
      </c>
      <c r="D288">
        <v>1.0273632502865235</v>
      </c>
    </row>
    <row r="289" spans="1:4" x14ac:dyDescent="0.3">
      <c r="A289">
        <v>10.958753356689988</v>
      </c>
      <c r="B289">
        <v>0.18007033543376799</v>
      </c>
      <c r="C289">
        <v>1.9511765916834399E-3</v>
      </c>
      <c r="D289">
        <v>1.0275645788557577</v>
      </c>
    </row>
    <row r="290" spans="1:4" x14ac:dyDescent="0.3">
      <c r="A290">
        <v>10.959710772698767</v>
      </c>
      <c r="B290">
        <v>0.1800931710262782</v>
      </c>
      <c r="C290">
        <v>1.8494693573987587E-3</v>
      </c>
      <c r="D290">
        <v>1.0277599628076277</v>
      </c>
    </row>
    <row r="291" spans="1:4" x14ac:dyDescent="0.3">
      <c r="A291">
        <v>10.961057332017518</v>
      </c>
      <c r="B291">
        <v>0.18012307235854505</v>
      </c>
      <c r="C291">
        <v>1.7119125514805315E-3</v>
      </c>
      <c r="D291">
        <v>1.0280245611176169</v>
      </c>
    </row>
    <row r="292" spans="1:4" x14ac:dyDescent="0.3">
      <c r="A292">
        <v>10.962403891336269</v>
      </c>
      <c r="B292">
        <v>0.18015035151035363</v>
      </c>
      <c r="C292">
        <v>1.5808529201238575E-3</v>
      </c>
      <c r="D292">
        <v>1.0282770872119442</v>
      </c>
    </row>
    <row r="293" spans="1:4" x14ac:dyDescent="0.3">
      <c r="A293">
        <v>10.96375045065502</v>
      </c>
      <c r="B293">
        <v>0.18017498260254189</v>
      </c>
      <c r="C293">
        <v>1.4563556125911951E-3</v>
      </c>
      <c r="D293">
        <v>1.0285174198929232</v>
      </c>
    </row>
    <row r="294" spans="1:4" x14ac:dyDescent="0.3">
      <c r="A294">
        <v>10.965097009973771</v>
      </c>
      <c r="B294">
        <v>0.18019695119988452</v>
      </c>
      <c r="C294">
        <v>1.3384573858659342E-3</v>
      </c>
      <c r="D294">
        <v>1.0287454907229749</v>
      </c>
    </row>
    <row r="295" spans="1:4" x14ac:dyDescent="0.3">
      <c r="A295">
        <v>10.966181698393253</v>
      </c>
      <c r="B295">
        <v>0.18021270950674034</v>
      </c>
      <c r="C295">
        <v>1.2482912685820749E-3</v>
      </c>
      <c r="D295">
        <v>1.0289202812862983</v>
      </c>
    </row>
    <row r="296" spans="1:4" x14ac:dyDescent="0.3">
      <c r="A296">
        <v>10.967266386812735</v>
      </c>
      <c r="B296">
        <v>0.180226743740069</v>
      </c>
      <c r="C296">
        <v>1.1623994107447921E-3</v>
      </c>
      <c r="D296">
        <v>1.0290871296299189</v>
      </c>
    </row>
    <row r="297" spans="1:4" x14ac:dyDescent="0.3">
      <c r="A297">
        <v>10.968351075232217</v>
      </c>
      <c r="B297">
        <v>0.18023906471118348</v>
      </c>
      <c r="C297">
        <v>1.0807554699736694E-3</v>
      </c>
      <c r="D297">
        <v>1.0292460846366192</v>
      </c>
    </row>
    <row r="298" spans="1:4" x14ac:dyDescent="0.3">
      <c r="A298">
        <v>10.969435763651699</v>
      </c>
      <c r="B298">
        <v>0.18024968903200703</v>
      </c>
      <c r="C298">
        <v>1.0033187051601488E-3</v>
      </c>
      <c r="D298">
        <v>1.0293972219467564</v>
      </c>
    </row>
    <row r="299" spans="1:4" x14ac:dyDescent="0.3">
      <c r="A299">
        <v>10.970520452071181</v>
      </c>
      <c r="B299">
        <v>0.18025863911412263</v>
      </c>
      <c r="C299">
        <v>9.3003397717599076E-4</v>
      </c>
      <c r="D299">
        <v>1.0295406439571808</v>
      </c>
    </row>
    <row r="300" spans="1:4" x14ac:dyDescent="0.3">
      <c r="A300">
        <v>10.971605140490663</v>
      </c>
      <c r="B300">
        <v>0.18026594306921337</v>
      </c>
      <c r="C300">
        <v>8.6083199429719541E-4</v>
      </c>
      <c r="D300">
        <v>1.0296764793653983</v>
      </c>
    </row>
    <row r="301" spans="1:4" x14ac:dyDescent="0.3">
      <c r="A301">
        <v>10.972689828910145</v>
      </c>
      <c r="B301">
        <v>0.18027163451571548</v>
      </c>
      <c r="C301">
        <v>7.9562979042267995E-4</v>
      </c>
      <c r="D301">
        <v>1.0298048822811274</v>
      </c>
    </row>
    <row r="302" spans="1:4" x14ac:dyDescent="0.3">
      <c r="A302">
        <v>10.973774517329627</v>
      </c>
      <c r="B302">
        <v>0.18027575229507853</v>
      </c>
      <c r="C302">
        <v>7.3433142768893653E-4</v>
      </c>
      <c r="D302">
        <v>1.0299260309208522</v>
      </c>
    </row>
    <row r="303" spans="1:4" x14ac:dyDescent="0.3">
      <c r="A303">
        <v>10.974859205749109</v>
      </c>
      <c r="B303">
        <v>0.180278340100885</v>
      </c>
      <c r="C303">
        <v>6.7682891542526812E-4</v>
      </c>
      <c r="D303">
        <v>1.0300401259003378</v>
      </c>
    </row>
    <row r="304" spans="1:4" x14ac:dyDescent="0.3">
      <c r="A304">
        <v>10.975943894168591</v>
      </c>
      <c r="B304">
        <v>0.18027944602846976</v>
      </c>
      <c r="C304">
        <v>6.2300332650965114E-4</v>
      </c>
      <c r="D304">
        <v>1.0301473881603016</v>
      </c>
    </row>
    <row r="305" spans="1:4" x14ac:dyDescent="0.3">
      <c r="A305">
        <v>10.977028582588073</v>
      </c>
      <c r="B305">
        <v>0.18027912205795288</v>
      </c>
      <c r="C305">
        <v>5.7272607910206731E-4</v>
      </c>
      <c r="D305">
        <v>1.0302480565847485</v>
      </c>
    </row>
    <row r="321" spans="1:22" x14ac:dyDescent="0.3">
      <c r="A321" s="5"/>
    </row>
    <row r="323" spans="1:22" s="2" customFormat="1" x14ac:dyDescent="0.3"/>
    <row r="324" spans="1:22" x14ac:dyDescent="0.3">
      <c r="A324" s="48"/>
      <c r="B324" s="48"/>
      <c r="C324" s="48"/>
      <c r="D324" s="48"/>
      <c r="E324" s="48"/>
      <c r="F324" s="48"/>
      <c r="G324" s="48"/>
      <c r="H324" s="48"/>
      <c r="J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</row>
    <row r="325" spans="1:22" x14ac:dyDescent="0.3">
      <c r="A325" s="48"/>
      <c r="B325" s="48"/>
      <c r="C325" s="48"/>
      <c r="D325" s="48"/>
      <c r="E325" s="48"/>
      <c r="F325" s="48"/>
      <c r="G325" s="48"/>
      <c r="H325" s="48"/>
      <c r="J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</row>
    <row r="326" spans="1:22" x14ac:dyDescent="0.3">
      <c r="A326" s="48"/>
      <c r="B326" s="48"/>
      <c r="C326" s="48"/>
      <c r="D326" s="48"/>
      <c r="E326" s="48"/>
      <c r="F326" s="48"/>
      <c r="G326" s="48"/>
      <c r="H326" s="48"/>
      <c r="J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</row>
    <row r="327" spans="1:22" x14ac:dyDescent="0.3">
      <c r="A327" s="48"/>
      <c r="B327" s="48"/>
      <c r="C327" s="48"/>
      <c r="D327" s="48"/>
      <c r="E327" s="48"/>
      <c r="F327" s="48"/>
      <c r="G327" s="48"/>
      <c r="H327" s="48"/>
      <c r="J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</row>
    <row r="328" spans="1:22" x14ac:dyDescent="0.3">
      <c r="A328" s="48"/>
      <c r="B328" s="48"/>
      <c r="C328" s="48"/>
      <c r="D328" s="48"/>
      <c r="E328" s="48"/>
      <c r="F328" s="48"/>
      <c r="G328" s="48"/>
      <c r="H328" s="48"/>
      <c r="J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</row>
    <row r="329" spans="1:22" x14ac:dyDescent="0.3">
      <c r="A329" s="48"/>
      <c r="B329" s="48"/>
      <c r="C329" s="48"/>
      <c r="D329" s="48"/>
      <c r="E329" s="48"/>
      <c r="F329" s="48"/>
      <c r="G329" s="48"/>
      <c r="H329" s="48"/>
      <c r="J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</row>
    <row r="330" spans="1:22" x14ac:dyDescent="0.3">
      <c r="A330" s="48"/>
      <c r="B330" s="48"/>
      <c r="C330" s="48"/>
      <c r="D330" s="48"/>
      <c r="E330" s="48"/>
      <c r="F330" s="48"/>
      <c r="G330" s="48"/>
      <c r="H330" s="48"/>
      <c r="J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</row>
    <row r="331" spans="1:22" x14ac:dyDescent="0.3">
      <c r="A331" s="48"/>
      <c r="B331" s="48"/>
      <c r="C331" s="48"/>
      <c r="D331" s="48"/>
      <c r="E331" s="48"/>
      <c r="F331" s="48"/>
      <c r="G331" s="48"/>
      <c r="H331" s="48"/>
      <c r="J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</row>
    <row r="332" spans="1:22" x14ac:dyDescent="0.3">
      <c r="A332" s="48"/>
      <c r="B332" s="48"/>
      <c r="C332" s="48"/>
      <c r="D332" s="48"/>
      <c r="E332" s="48"/>
      <c r="F332" s="48"/>
      <c r="G332" s="48"/>
      <c r="H332" s="48"/>
      <c r="J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</row>
    <row r="333" spans="1:22" x14ac:dyDescent="0.3">
      <c r="A333" s="48"/>
      <c r="B333" s="48"/>
      <c r="C333" s="48"/>
      <c r="D333" s="48"/>
      <c r="E333" s="48"/>
      <c r="F333" s="48"/>
      <c r="G333" s="48"/>
      <c r="H333" s="48"/>
      <c r="J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</row>
    <row r="334" spans="1:22" x14ac:dyDescent="0.3">
      <c r="A334" s="48"/>
      <c r="B334" s="48"/>
      <c r="C334" s="48"/>
      <c r="D334" s="48"/>
      <c r="E334" s="48"/>
      <c r="F334" s="48"/>
      <c r="G334" s="48"/>
      <c r="H334" s="48"/>
      <c r="J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</row>
    <row r="335" spans="1:22" x14ac:dyDescent="0.3">
      <c r="A335" s="48"/>
      <c r="B335" s="48"/>
      <c r="C335" s="48"/>
      <c r="D335" s="48"/>
      <c r="E335" s="48"/>
      <c r="F335" s="48"/>
      <c r="G335" s="48"/>
      <c r="H335" s="48"/>
      <c r="J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</row>
    <row r="336" spans="1:22" x14ac:dyDescent="0.3">
      <c r="A336" s="48"/>
      <c r="B336" s="48"/>
      <c r="C336" s="48"/>
      <c r="D336" s="48"/>
      <c r="E336" s="48"/>
      <c r="F336" s="48"/>
      <c r="G336" s="48"/>
      <c r="H336" s="48"/>
      <c r="J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</row>
    <row r="337" spans="1:22" x14ac:dyDescent="0.3">
      <c r="A337" s="48"/>
      <c r="B337" s="48"/>
      <c r="C337" s="48"/>
      <c r="D337" s="48"/>
      <c r="E337" s="48"/>
      <c r="F337" s="48"/>
      <c r="G337" s="48"/>
      <c r="H337" s="48"/>
      <c r="J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</row>
    <row r="338" spans="1:22" x14ac:dyDescent="0.3">
      <c r="A338" s="48"/>
      <c r="B338" s="48"/>
      <c r="C338" s="48"/>
      <c r="D338" s="48"/>
      <c r="E338" s="48"/>
      <c r="F338" s="48"/>
      <c r="G338" s="48"/>
      <c r="H338" s="48"/>
      <c r="J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</row>
    <row r="339" spans="1:22" x14ac:dyDescent="0.3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</row>
    <row r="340" spans="1:22" x14ac:dyDescent="0.3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</row>
    <row r="341" spans="1:22" x14ac:dyDescent="0.3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</row>
    <row r="342" spans="1:22" x14ac:dyDescent="0.3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</row>
    <row r="343" spans="1:22" x14ac:dyDescent="0.3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</row>
    <row r="344" spans="1:22" x14ac:dyDescent="0.3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</row>
    <row r="345" spans="1:22" x14ac:dyDescent="0.3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</row>
    <row r="346" spans="1:22" x14ac:dyDescent="0.3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</row>
    <row r="347" spans="1:22" x14ac:dyDescent="0.3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</row>
    <row r="348" spans="1:22" x14ac:dyDescent="0.3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</row>
    <row r="349" spans="1:22" x14ac:dyDescent="0.3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</row>
    <row r="350" spans="1:22" x14ac:dyDescent="0.3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</row>
    <row r="351" spans="1:22" x14ac:dyDescent="0.3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</row>
    <row r="352" spans="1:22" x14ac:dyDescent="0.3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</row>
    <row r="353" spans="1:22" x14ac:dyDescent="0.3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</row>
    <row r="354" spans="1:22" x14ac:dyDescent="0.3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</row>
    <row r="355" spans="1:22" x14ac:dyDescent="0.3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</row>
    <row r="356" spans="1:22" x14ac:dyDescent="0.3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</row>
    <row r="357" spans="1:22" x14ac:dyDescent="0.3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</row>
    <row r="358" spans="1:22" x14ac:dyDescent="0.3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</row>
    <row r="359" spans="1:22" x14ac:dyDescent="0.3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</row>
    <row r="360" spans="1:22" x14ac:dyDescent="0.3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</row>
    <row r="361" spans="1:22" x14ac:dyDescent="0.3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</row>
    <row r="362" spans="1:22" x14ac:dyDescent="0.3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</row>
    <row r="363" spans="1:22" x14ac:dyDescent="0.3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</row>
    <row r="364" spans="1:22" x14ac:dyDescent="0.3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</row>
    <row r="365" spans="1:22" x14ac:dyDescent="0.3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</row>
    <row r="366" spans="1:22" x14ac:dyDescent="0.3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</row>
    <row r="367" spans="1:22" x14ac:dyDescent="0.3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</row>
    <row r="368" spans="1:22" x14ac:dyDescent="0.3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</row>
    <row r="369" spans="1:22" x14ac:dyDescent="0.3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</row>
    <row r="370" spans="1:22" x14ac:dyDescent="0.3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</row>
    <row r="371" spans="1:22" x14ac:dyDescent="0.3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</row>
    <row r="372" spans="1:22" x14ac:dyDescent="0.3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</row>
    <row r="373" spans="1:22" x14ac:dyDescent="0.3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</row>
    <row r="374" spans="1:22" x14ac:dyDescent="0.3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</row>
    <row r="375" spans="1:22" x14ac:dyDescent="0.3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</row>
    <row r="376" spans="1:22" x14ac:dyDescent="0.3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</row>
    <row r="377" spans="1:22" x14ac:dyDescent="0.3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</row>
    <row r="378" spans="1:22" x14ac:dyDescent="0.3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</row>
    <row r="379" spans="1:22" x14ac:dyDescent="0.3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</row>
    <row r="380" spans="1:22" x14ac:dyDescent="0.3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</row>
    <row r="381" spans="1:22" x14ac:dyDescent="0.3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</row>
    <row r="382" spans="1:22" x14ac:dyDescent="0.3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</row>
    <row r="383" spans="1:22" x14ac:dyDescent="0.3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</row>
    <row r="384" spans="1:22" x14ac:dyDescent="0.3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</row>
    <row r="385" spans="1:22" x14ac:dyDescent="0.3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</row>
    <row r="386" spans="1:22" x14ac:dyDescent="0.3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</row>
    <row r="387" spans="1:22" x14ac:dyDescent="0.3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</row>
    <row r="388" spans="1:22" x14ac:dyDescent="0.3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</row>
    <row r="389" spans="1:22" x14ac:dyDescent="0.3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</row>
    <row r="390" spans="1:22" x14ac:dyDescent="0.3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</row>
    <row r="391" spans="1:22" x14ac:dyDescent="0.3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</row>
    <row r="392" spans="1:22" x14ac:dyDescent="0.3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</row>
    <row r="393" spans="1:22" x14ac:dyDescent="0.3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</row>
    <row r="394" spans="1:22" x14ac:dyDescent="0.3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</row>
    <row r="395" spans="1:22" x14ac:dyDescent="0.3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</row>
    <row r="396" spans="1:22" x14ac:dyDescent="0.3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</row>
    <row r="397" spans="1:22" x14ac:dyDescent="0.3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</row>
    <row r="398" spans="1:22" x14ac:dyDescent="0.3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</row>
    <row r="399" spans="1:22" x14ac:dyDescent="0.3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</row>
    <row r="400" spans="1:22" x14ac:dyDescent="0.3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</row>
    <row r="401" spans="1:22" x14ac:dyDescent="0.3">
      <c r="A401" s="48"/>
      <c r="B401" s="48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</row>
    <row r="402" spans="1:22" x14ac:dyDescent="0.3">
      <c r="A402" s="48"/>
      <c r="B402" s="48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</row>
    <row r="403" spans="1:22" x14ac:dyDescent="0.3">
      <c r="A403" s="48"/>
      <c r="B403" s="48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</row>
    <row r="404" spans="1:22" x14ac:dyDescent="0.3">
      <c r="A404" s="48"/>
      <c r="B404" s="48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</row>
    <row r="405" spans="1:22" x14ac:dyDescent="0.3">
      <c r="A405" s="48"/>
      <c r="B405" s="48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</row>
    <row r="406" spans="1:22" x14ac:dyDescent="0.3">
      <c r="A406" s="48"/>
      <c r="B406" s="48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</row>
    <row r="407" spans="1:22" x14ac:dyDescent="0.3">
      <c r="A407" s="48"/>
      <c r="B407" s="48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</row>
    <row r="408" spans="1:22" x14ac:dyDescent="0.3">
      <c r="A408" s="48"/>
      <c r="B408" s="48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</row>
    <row r="409" spans="1:22" x14ac:dyDescent="0.3">
      <c r="A409" s="48"/>
      <c r="B409" s="48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</row>
    <row r="410" spans="1:22" x14ac:dyDescent="0.3">
      <c r="A410" s="48"/>
      <c r="B410" s="48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</row>
    <row r="411" spans="1:22" x14ac:dyDescent="0.3">
      <c r="A411" s="48"/>
      <c r="B411" s="48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</row>
    <row r="412" spans="1:22" x14ac:dyDescent="0.3">
      <c r="A412" s="48"/>
      <c r="B412" s="48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</row>
    <row r="413" spans="1:22" x14ac:dyDescent="0.3">
      <c r="A413" s="48"/>
      <c r="B413" s="48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</row>
    <row r="414" spans="1:22" x14ac:dyDescent="0.3">
      <c r="A414" s="48"/>
      <c r="B414" s="48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</row>
    <row r="415" spans="1:22" x14ac:dyDescent="0.3">
      <c r="A415" s="48"/>
      <c r="B415" s="48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</row>
    <row r="416" spans="1:22" x14ac:dyDescent="0.3">
      <c r="A416" s="48"/>
      <c r="B416" s="48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</row>
    <row r="417" spans="1:22" x14ac:dyDescent="0.3">
      <c r="A417" s="48"/>
      <c r="B417" s="48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</row>
    <row r="418" spans="1:22" x14ac:dyDescent="0.3">
      <c r="A418" s="48"/>
      <c r="B418" s="48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</row>
    <row r="419" spans="1:22" x14ac:dyDescent="0.3">
      <c r="A419" s="48"/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</row>
    <row r="420" spans="1:22" x14ac:dyDescent="0.3">
      <c r="A420" s="48"/>
      <c r="B420" s="48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</row>
    <row r="421" spans="1:22" x14ac:dyDescent="0.3">
      <c r="A421" s="48"/>
      <c r="B421" s="48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</row>
    <row r="422" spans="1:22" x14ac:dyDescent="0.3">
      <c r="A422" s="48"/>
      <c r="B422" s="48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</row>
    <row r="423" spans="1:22" x14ac:dyDescent="0.3">
      <c r="A423" s="48"/>
      <c r="B423" s="48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</row>
    <row r="424" spans="1:22" x14ac:dyDescent="0.3">
      <c r="A424" s="48"/>
      <c r="B424" s="48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</row>
    <row r="425" spans="1:22" x14ac:dyDescent="0.3">
      <c r="A425" s="48"/>
      <c r="B425" s="48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</row>
    <row r="426" spans="1:22" x14ac:dyDescent="0.3">
      <c r="A426" s="48"/>
      <c r="B426" s="48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</row>
    <row r="427" spans="1:22" x14ac:dyDescent="0.3">
      <c r="A427" s="48"/>
      <c r="B427" s="48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</row>
    <row r="428" spans="1:22" x14ac:dyDescent="0.3">
      <c r="A428" s="48"/>
      <c r="B428" s="48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</row>
    <row r="429" spans="1:22" x14ac:dyDescent="0.3">
      <c r="A429" s="48"/>
      <c r="B429" s="48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</row>
    <row r="430" spans="1:22" x14ac:dyDescent="0.3">
      <c r="A430" s="48"/>
      <c r="B430" s="48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</row>
    <row r="431" spans="1:22" x14ac:dyDescent="0.3">
      <c r="A431" s="48"/>
      <c r="B431" s="48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</row>
    <row r="432" spans="1:22" x14ac:dyDescent="0.3">
      <c r="A432" s="48"/>
      <c r="B432" s="48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</row>
    <row r="433" spans="1:22" x14ac:dyDescent="0.3">
      <c r="A433" s="48"/>
      <c r="B433" s="48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</row>
    <row r="434" spans="1:22" x14ac:dyDescent="0.3">
      <c r="A434" s="48"/>
      <c r="B434" s="48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</row>
    <row r="435" spans="1:22" x14ac:dyDescent="0.3">
      <c r="A435" s="48"/>
      <c r="B435" s="48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</row>
    <row r="436" spans="1:22" x14ac:dyDescent="0.3">
      <c r="A436" s="48"/>
      <c r="B436" s="48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</row>
    <row r="437" spans="1:22" x14ac:dyDescent="0.3">
      <c r="A437" s="48"/>
      <c r="B437" s="48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</row>
    <row r="438" spans="1:22" x14ac:dyDescent="0.3">
      <c r="A438" s="48"/>
      <c r="B438" s="48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</row>
    <row r="439" spans="1:22" x14ac:dyDescent="0.3">
      <c r="A439" s="48"/>
      <c r="B439" s="48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</row>
    <row r="440" spans="1:22" x14ac:dyDescent="0.3">
      <c r="A440" s="48"/>
      <c r="B440" s="48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</row>
    <row r="441" spans="1:22" x14ac:dyDescent="0.3">
      <c r="A441" s="48"/>
      <c r="B441" s="48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</row>
    <row r="442" spans="1:22" x14ac:dyDescent="0.3">
      <c r="A442" s="48"/>
      <c r="B442" s="48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</row>
    <row r="443" spans="1:22" x14ac:dyDescent="0.3">
      <c r="A443" s="48"/>
      <c r="B443" s="48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</row>
    <row r="444" spans="1:22" x14ac:dyDescent="0.3">
      <c r="A444" s="48"/>
      <c r="B444" s="48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</row>
    <row r="445" spans="1:22" x14ac:dyDescent="0.3">
      <c r="A445" s="48"/>
      <c r="B445" s="48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</row>
    <row r="446" spans="1:22" x14ac:dyDescent="0.3">
      <c r="A446" s="48"/>
      <c r="B446" s="48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</row>
    <row r="447" spans="1:22" x14ac:dyDescent="0.3">
      <c r="A447" s="48"/>
      <c r="B447" s="48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</row>
    <row r="448" spans="1:22" x14ac:dyDescent="0.3">
      <c r="A448" s="48"/>
      <c r="B448" s="48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</row>
    <row r="449" spans="1:22" x14ac:dyDescent="0.3">
      <c r="A449" s="48"/>
      <c r="B449" s="48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</row>
    <row r="450" spans="1:22" x14ac:dyDescent="0.3">
      <c r="A450" s="48"/>
      <c r="B450" s="48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</row>
    <row r="451" spans="1:22" x14ac:dyDescent="0.3">
      <c r="A451" s="48"/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</row>
    <row r="452" spans="1:22" x14ac:dyDescent="0.3">
      <c r="A452" s="48"/>
      <c r="B452" s="48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</row>
    <row r="453" spans="1:22" x14ac:dyDescent="0.3">
      <c r="A453" s="48"/>
      <c r="B453" s="48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</row>
    <row r="454" spans="1:22" x14ac:dyDescent="0.3">
      <c r="A454" s="48"/>
      <c r="B454" s="48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</row>
    <row r="455" spans="1:22" x14ac:dyDescent="0.3">
      <c r="A455" s="48"/>
      <c r="B455" s="48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</row>
    <row r="456" spans="1:22" x14ac:dyDescent="0.3">
      <c r="A456" s="48"/>
      <c r="B456" s="48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</row>
    <row r="457" spans="1:22" x14ac:dyDescent="0.3">
      <c r="A457" s="48"/>
      <c r="B457" s="48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</row>
    <row r="458" spans="1:22" x14ac:dyDescent="0.3">
      <c r="A458" s="48"/>
      <c r="B458" s="48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</row>
    <row r="459" spans="1:22" x14ac:dyDescent="0.3">
      <c r="A459" s="48"/>
      <c r="B459" s="48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</row>
    <row r="460" spans="1:22" x14ac:dyDescent="0.3">
      <c r="A460" s="48"/>
      <c r="B460" s="48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</row>
    <row r="461" spans="1:22" x14ac:dyDescent="0.3">
      <c r="A461" s="48"/>
      <c r="B461" s="48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</row>
    <row r="462" spans="1:22" x14ac:dyDescent="0.3">
      <c r="A462" s="48"/>
      <c r="B462" s="48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</row>
    <row r="463" spans="1:22" x14ac:dyDescent="0.3">
      <c r="A463" s="48"/>
      <c r="B463" s="48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</row>
    <row r="464" spans="1:22" x14ac:dyDescent="0.3">
      <c r="A464" s="48"/>
      <c r="B464" s="48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</row>
    <row r="465" spans="1:22" x14ac:dyDescent="0.3">
      <c r="A465" s="48"/>
      <c r="B465" s="48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</row>
    <row r="466" spans="1:22" x14ac:dyDescent="0.3">
      <c r="A466" s="48"/>
      <c r="B466" s="48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</row>
    <row r="467" spans="1:22" x14ac:dyDescent="0.3">
      <c r="A467" s="48"/>
      <c r="B467" s="48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</row>
    <row r="468" spans="1:22" x14ac:dyDescent="0.3">
      <c r="A468" s="48"/>
      <c r="B468" s="48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</row>
    <row r="469" spans="1:22" x14ac:dyDescent="0.3">
      <c r="A469" s="48"/>
      <c r="B469" s="48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</row>
    <row r="470" spans="1:22" x14ac:dyDescent="0.3">
      <c r="A470" s="48"/>
      <c r="B470" s="48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</row>
    <row r="471" spans="1:22" x14ac:dyDescent="0.3">
      <c r="A471" s="48"/>
      <c r="B471" s="48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</row>
    <row r="472" spans="1:22" x14ac:dyDescent="0.3">
      <c r="A472" s="48"/>
      <c r="B472" s="48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</row>
    <row r="473" spans="1:22" x14ac:dyDescent="0.3">
      <c r="A473" s="48"/>
      <c r="B473" s="48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</row>
    <row r="474" spans="1:22" x14ac:dyDescent="0.3">
      <c r="A474" s="48"/>
      <c r="B474" s="48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</row>
    <row r="475" spans="1:22" x14ac:dyDescent="0.3">
      <c r="A475" s="48"/>
      <c r="B475" s="48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</row>
    <row r="476" spans="1:22" x14ac:dyDescent="0.3">
      <c r="A476" s="48"/>
      <c r="B476" s="48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</row>
    <row r="477" spans="1:22" x14ac:dyDescent="0.3">
      <c r="A477" s="48"/>
      <c r="B477" s="48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</row>
    <row r="478" spans="1:22" x14ac:dyDescent="0.3">
      <c r="A478" s="48"/>
      <c r="B478" s="48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</row>
    <row r="479" spans="1:22" x14ac:dyDescent="0.3">
      <c r="A479" s="48"/>
      <c r="B479" s="48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</row>
    <row r="480" spans="1:22" x14ac:dyDescent="0.3">
      <c r="A480" s="48"/>
      <c r="B480" s="48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</row>
    <row r="481" spans="1:22" x14ac:dyDescent="0.3">
      <c r="A481" s="48"/>
      <c r="B481" s="48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</row>
    <row r="482" spans="1:22" x14ac:dyDescent="0.3">
      <c r="A482" s="48"/>
      <c r="B482" s="48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</row>
    <row r="483" spans="1:22" x14ac:dyDescent="0.3">
      <c r="A483" s="48"/>
      <c r="B483" s="48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</row>
    <row r="484" spans="1:22" x14ac:dyDescent="0.3">
      <c r="A484" s="48"/>
      <c r="B484" s="48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</row>
    <row r="485" spans="1:22" x14ac:dyDescent="0.3">
      <c r="A485" s="48"/>
      <c r="B485" s="48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</row>
    <row r="486" spans="1:22" x14ac:dyDescent="0.3">
      <c r="A486" s="48"/>
      <c r="B486" s="48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</row>
    <row r="487" spans="1:22" x14ac:dyDescent="0.3">
      <c r="A487" s="48"/>
      <c r="B487" s="48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</row>
    <row r="488" spans="1:22" x14ac:dyDescent="0.3">
      <c r="A488" s="48"/>
      <c r="B488" s="48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</row>
    <row r="489" spans="1:22" x14ac:dyDescent="0.3">
      <c r="A489" s="48"/>
      <c r="B489" s="48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</row>
    <row r="490" spans="1:22" x14ac:dyDescent="0.3">
      <c r="A490" s="48"/>
      <c r="B490" s="48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1"/>
  <sheetViews>
    <sheetView tabSelected="1" zoomScale="99" zoomScaleNormal="99" workbookViewId="0">
      <selection activeCell="M94" sqref="M94"/>
    </sheetView>
  </sheetViews>
  <sheetFormatPr defaultRowHeight="14.4" x14ac:dyDescent="0.3"/>
  <cols>
    <col min="3" max="3" width="12.6640625" bestFit="1" customWidth="1"/>
    <col min="9" max="11" width="9" bestFit="1" customWidth="1"/>
    <col min="12" max="13" width="12.109375" bestFit="1" customWidth="1"/>
    <col min="14" max="14" width="9" bestFit="1" customWidth="1"/>
    <col min="15" max="15" width="12.33203125" bestFit="1" customWidth="1"/>
    <col min="16" max="16" width="13" bestFit="1" customWidth="1"/>
    <col min="17" max="17" width="9" bestFit="1" customWidth="1"/>
    <col min="18" max="18" width="12.77734375" bestFit="1" customWidth="1"/>
    <col min="19" max="20" width="9" bestFit="1" customWidth="1"/>
    <col min="21" max="21" width="12.88671875" bestFit="1" customWidth="1"/>
    <col min="31" max="31" width="12.6640625" bestFit="1" customWidth="1"/>
  </cols>
  <sheetData>
    <row r="1" spans="1:21" x14ac:dyDescent="0.3">
      <c r="A1" s="5" t="s">
        <v>276</v>
      </c>
    </row>
    <row r="3" spans="1:21" ht="15.6" x14ac:dyDescent="0.35">
      <c r="A3" s="31" t="s">
        <v>274</v>
      </c>
      <c r="B3" s="32"/>
      <c r="C3" s="32" t="s">
        <v>246</v>
      </c>
      <c r="D3" s="4">
        <v>19</v>
      </c>
      <c r="E3" s="32" t="s">
        <v>249</v>
      </c>
      <c r="F3" s="32">
        <f>D3*B11/D11</f>
        <v>2.481611111111111</v>
      </c>
      <c r="G3" s="32" t="s">
        <v>43</v>
      </c>
      <c r="H3" s="32"/>
      <c r="I3" s="32"/>
      <c r="J3" s="31" t="s">
        <v>186</v>
      </c>
      <c r="K3" s="32"/>
      <c r="L3" s="32"/>
      <c r="M3" s="4" t="s">
        <v>230</v>
      </c>
      <c r="N3" s="4"/>
      <c r="O3" s="4"/>
    </row>
    <row r="4" spans="1:21" ht="15.6" x14ac:dyDescent="0.35">
      <c r="A4" s="32"/>
      <c r="B4" s="32"/>
      <c r="C4" s="32" t="s">
        <v>232</v>
      </c>
      <c r="D4" s="4">
        <v>3.6999999999999999E-4</v>
      </c>
      <c r="E4" s="32" t="s">
        <v>250</v>
      </c>
      <c r="F4" s="32">
        <f>D4*C11</f>
        <v>1.702E-2</v>
      </c>
      <c r="G4" s="32" t="s">
        <v>281</v>
      </c>
      <c r="H4" s="32"/>
      <c r="I4" s="32"/>
      <c r="J4" s="32" t="s">
        <v>111</v>
      </c>
      <c r="K4" s="32">
        <v>1</v>
      </c>
      <c r="L4" s="32"/>
      <c r="M4" s="4" t="s">
        <v>228</v>
      </c>
      <c r="N4" s="4"/>
      <c r="O4" s="4"/>
    </row>
    <row r="5" spans="1:21" ht="15.6" x14ac:dyDescent="0.35">
      <c r="A5" s="32"/>
      <c r="B5" s="32"/>
      <c r="C5" s="32" t="s">
        <v>247</v>
      </c>
      <c r="D5" s="4">
        <v>2</v>
      </c>
      <c r="E5" s="32" t="s">
        <v>251</v>
      </c>
      <c r="F5" s="32">
        <f>D5*B11/D11</f>
        <v>0.26122222222222219</v>
      </c>
      <c r="G5" s="32" t="s">
        <v>15</v>
      </c>
      <c r="H5" s="32"/>
      <c r="I5" s="32"/>
      <c r="J5" s="32" t="s">
        <v>113</v>
      </c>
      <c r="K5" s="4">
        <v>1.73</v>
      </c>
      <c r="L5" s="32"/>
      <c r="M5" s="4" t="s">
        <v>229</v>
      </c>
      <c r="N5" s="4"/>
      <c r="O5" s="4"/>
    </row>
    <row r="6" spans="1:21" ht="15.6" x14ac:dyDescent="0.35">
      <c r="A6" s="32"/>
      <c r="B6" s="32"/>
      <c r="C6" s="32" t="s">
        <v>233</v>
      </c>
      <c r="D6" s="4">
        <v>6.4999999999999997E-3</v>
      </c>
      <c r="E6" s="32" t="s">
        <v>250</v>
      </c>
      <c r="F6" s="32">
        <f>D6*C11</f>
        <v>0.29899999999999999</v>
      </c>
      <c r="G6" s="32" t="s">
        <v>281</v>
      </c>
      <c r="H6" s="32"/>
      <c r="I6" s="32"/>
      <c r="J6" s="32" t="s">
        <v>115</v>
      </c>
      <c r="K6" s="4">
        <v>0.41</v>
      </c>
      <c r="L6" s="32"/>
      <c r="M6" s="32"/>
      <c r="N6" s="32"/>
      <c r="O6" s="32"/>
    </row>
    <row r="7" spans="1:21" ht="15.6" x14ac:dyDescent="0.35">
      <c r="A7" s="32"/>
      <c r="B7" s="32"/>
      <c r="C7" s="32" t="s">
        <v>56</v>
      </c>
      <c r="D7" s="4">
        <v>0.5</v>
      </c>
      <c r="E7" s="32" t="s">
        <v>257</v>
      </c>
      <c r="F7" s="32">
        <f>D7/D11</f>
        <v>2.7777777777777779E-3</v>
      </c>
      <c r="G7" s="32" t="s">
        <v>2</v>
      </c>
      <c r="H7" s="32"/>
      <c r="I7" s="32"/>
      <c r="J7" s="32" t="s">
        <v>114</v>
      </c>
      <c r="K7" s="4">
        <v>0.23</v>
      </c>
      <c r="L7" s="32"/>
      <c r="M7" s="32"/>
      <c r="N7" s="32"/>
      <c r="O7" s="32"/>
    </row>
    <row r="8" spans="1:21" ht="15.6" x14ac:dyDescent="0.35">
      <c r="A8" s="32"/>
      <c r="B8" s="32"/>
      <c r="C8" s="32" t="s">
        <v>277</v>
      </c>
      <c r="D8" s="4">
        <v>72</v>
      </c>
      <c r="E8" s="32" t="s">
        <v>252</v>
      </c>
      <c r="F8" s="32">
        <f>D8/C11</f>
        <v>1.5652173913043479</v>
      </c>
      <c r="G8" s="32" t="s">
        <v>2</v>
      </c>
      <c r="H8" s="32"/>
      <c r="I8" s="32"/>
      <c r="J8" s="32"/>
      <c r="K8" s="32"/>
      <c r="L8" s="32"/>
      <c r="M8" s="32"/>
      <c r="N8" s="32"/>
      <c r="O8" s="32"/>
    </row>
    <row r="9" spans="1:2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21" x14ac:dyDescent="0.3">
      <c r="A10" s="33"/>
      <c r="B10" s="33" t="s">
        <v>266</v>
      </c>
      <c r="C10" s="33" t="s">
        <v>267</v>
      </c>
      <c r="D10" s="33" t="s">
        <v>268</v>
      </c>
      <c r="E10" s="33" t="s">
        <v>262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pans="1:21" x14ac:dyDescent="0.3">
      <c r="A11" s="32" t="s">
        <v>185</v>
      </c>
      <c r="B11" s="32">
        <f>K4*12+K5+K6*16+K7*14</f>
        <v>23.509999999999998</v>
      </c>
      <c r="C11" s="32">
        <v>46</v>
      </c>
      <c r="D11" s="32">
        <v>180</v>
      </c>
      <c r="E11" s="32" t="s">
        <v>263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21" ht="15.6" x14ac:dyDescent="0.35">
      <c r="A12" s="32" t="s">
        <v>260</v>
      </c>
      <c r="B12" s="32">
        <f>K4*4+K5-2*K6-3*K7</f>
        <v>4.22</v>
      </c>
      <c r="C12" s="32">
        <v>12</v>
      </c>
      <c r="D12" s="32">
        <v>24</v>
      </c>
      <c r="E12" s="32" t="s">
        <v>261</v>
      </c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21" x14ac:dyDescent="0.3">
      <c r="A13" s="32" t="s">
        <v>187</v>
      </c>
      <c r="B13" s="4">
        <v>0.48</v>
      </c>
      <c r="C13" s="32"/>
      <c r="D13" s="32">
        <f>B13*D3+D5</f>
        <v>11.12</v>
      </c>
      <c r="E13" s="32" t="s">
        <v>265</v>
      </c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21" x14ac:dyDescent="0.3">
      <c r="A14" s="32" t="s">
        <v>192</v>
      </c>
      <c r="B14" s="32">
        <f>B13</f>
        <v>0.48</v>
      </c>
      <c r="C14" s="32">
        <f>(B14*$B$12-D14*$D$12)/-$C$12</f>
        <v>2.7359911111111104</v>
      </c>
      <c r="D14" s="32">
        <f>D13/D11*B11</f>
        <v>1.4523955555555552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21" x14ac:dyDescent="0.3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21" x14ac:dyDescent="0.3">
      <c r="U16" s="36" t="s">
        <v>273</v>
      </c>
    </row>
    <row r="17" spans="1:33" x14ac:dyDescent="0.3">
      <c r="E17" s="27"/>
      <c r="U17" s="9" t="s">
        <v>269</v>
      </c>
    </row>
    <row r="18" spans="1:33" x14ac:dyDescent="0.3">
      <c r="E18" s="27"/>
      <c r="U18" s="9" t="s">
        <v>68</v>
      </c>
    </row>
    <row r="19" spans="1:33" x14ac:dyDescent="0.3">
      <c r="A19" s="34" t="s">
        <v>318</v>
      </c>
      <c r="B19" s="35"/>
      <c r="C19" s="35"/>
      <c r="D19" s="35"/>
      <c r="U19" s="9" t="s">
        <v>270</v>
      </c>
    </row>
    <row r="20" spans="1:33" ht="15.6" x14ac:dyDescent="0.35">
      <c r="A20" s="35" t="s">
        <v>280</v>
      </c>
      <c r="B20" s="35">
        <f>98.5/D11</f>
        <v>0.54722222222222228</v>
      </c>
      <c r="C20" s="35" t="s">
        <v>2</v>
      </c>
      <c r="D20" s="35"/>
      <c r="U20" s="9" t="s">
        <v>271</v>
      </c>
    </row>
    <row r="22" spans="1:33" x14ac:dyDescent="0.3">
      <c r="A22" s="5" t="s">
        <v>55</v>
      </c>
      <c r="I22" s="5" t="s">
        <v>57</v>
      </c>
      <c r="V22" s="5"/>
    </row>
    <row r="23" spans="1:33" s="2" customFormat="1" x14ac:dyDescent="0.3"/>
    <row r="24" spans="1:33" x14ac:dyDescent="0.3">
      <c r="A24" t="s">
        <v>264</v>
      </c>
      <c r="B24" t="str">
        <f>"-qs"</f>
        <v>-qs</v>
      </c>
      <c r="C24" t="s">
        <v>59</v>
      </c>
      <c r="D24" t="s">
        <v>282</v>
      </c>
      <c r="E24" t="s">
        <v>60</v>
      </c>
      <c r="F24" t="s">
        <v>10</v>
      </c>
      <c r="G24" t="s">
        <v>61</v>
      </c>
      <c r="I24" t="s">
        <v>264</v>
      </c>
      <c r="J24" t="s">
        <v>13</v>
      </c>
      <c r="K24" t="s">
        <v>234</v>
      </c>
      <c r="L24" t="s">
        <v>238</v>
      </c>
      <c r="M24" t="s">
        <v>279</v>
      </c>
      <c r="N24" t="s">
        <v>278</v>
      </c>
      <c r="O24" t="s">
        <v>62</v>
      </c>
      <c r="P24" t="s">
        <v>282</v>
      </c>
      <c r="Q24" t="s">
        <v>63</v>
      </c>
      <c r="R24" t="s">
        <v>10</v>
      </c>
      <c r="S24" t="s">
        <v>64</v>
      </c>
      <c r="T24" t="s">
        <v>272</v>
      </c>
      <c r="U24" t="s">
        <v>58</v>
      </c>
    </row>
    <row r="25" spans="1:33" s="2" customFormat="1" x14ac:dyDescent="0.3">
      <c r="A25" s="2" t="s">
        <v>6</v>
      </c>
      <c r="B25" s="2" t="s">
        <v>23</v>
      </c>
      <c r="C25" s="2" t="s">
        <v>2</v>
      </c>
      <c r="D25" s="2" t="s">
        <v>67</v>
      </c>
      <c r="E25" s="2" t="s">
        <v>2</v>
      </c>
      <c r="F25" s="2" t="s">
        <v>23</v>
      </c>
      <c r="G25" s="2" t="s">
        <v>2</v>
      </c>
      <c r="I25" s="2" t="s">
        <v>6</v>
      </c>
      <c r="J25" s="2" t="s">
        <v>23</v>
      </c>
      <c r="K25" s="2" t="s">
        <v>43</v>
      </c>
      <c r="L25" s="2" t="s">
        <v>23</v>
      </c>
      <c r="M25" s="2" t="s">
        <v>6</v>
      </c>
      <c r="N25" s="2" t="s">
        <v>193</v>
      </c>
      <c r="O25" s="2" t="s">
        <v>2</v>
      </c>
      <c r="P25" s="2" t="s">
        <v>67</v>
      </c>
      <c r="Q25" s="2" t="s">
        <v>2</v>
      </c>
      <c r="R25" s="2" t="s">
        <v>23</v>
      </c>
      <c r="S25" s="2" t="s">
        <v>2</v>
      </c>
      <c r="T25" s="2" t="s">
        <v>256</v>
      </c>
    </row>
    <row r="26" spans="1:33" s="7" customFormat="1" x14ac:dyDescent="0.3">
      <c r="A26">
        <v>1E-3</v>
      </c>
      <c r="B26">
        <f>(A26*F$3+F$5)</f>
        <v>0.2637038333333333</v>
      </c>
      <c r="C26">
        <f>$F$7*B26/($D$14-B26)</f>
        <v>6.1623264842691294E-4</v>
      </c>
      <c r="D26">
        <f>-A26*(C26-B$20)</f>
        <v>5.4660598957379533E-4</v>
      </c>
      <c r="E26">
        <f>D26/B26</f>
        <v>2.0728025932139605E-3</v>
      </c>
      <c r="F26">
        <f>(B$12*A26-D$12*B26)/(-C$12)</f>
        <v>0.52705599999999997</v>
      </c>
      <c r="G26">
        <f>F26*E26/A26</f>
        <v>1.0924830435689772</v>
      </c>
      <c r="H26"/>
      <c r="I26">
        <v>1E-3</v>
      </c>
      <c r="J26">
        <f>$F$5*(1+$F$6*T26)</f>
        <v>0.3462489204740698</v>
      </c>
      <c r="K26" s="7">
        <f>$F$3*(1+$F$4*T26)</f>
        <v>2.52759093331961</v>
      </c>
      <c r="L26">
        <f>I26*K26+J26</f>
        <v>0.34877651140738941</v>
      </c>
      <c r="M26" s="7">
        <f>$B$14*(1-T26/$F$8)</f>
        <v>0.14615830284259673</v>
      </c>
      <c r="N26" s="7">
        <f>M26*K26+J26</f>
        <v>0.71567732156839914</v>
      </c>
      <c r="O26">
        <f>-$F$7*(I26+J26/K26)/(I26+J26/K26-N26/K26)</f>
        <v>2.6405601077118036E-3</v>
      </c>
      <c r="P26">
        <f>I26*($B$20-O26)</f>
        <v>5.4458166211451039E-4</v>
      </c>
      <c r="Q26">
        <f t="shared" ref="Q26:Q67" si="0">P26/L26</f>
        <v>1.5614057836549956E-3</v>
      </c>
      <c r="R26">
        <f t="shared" ref="R26:R67" si="1">($B$12*I26-$D$12*L26)/(-$C$12)</f>
        <v>0.69720135614811218</v>
      </c>
      <c r="S26">
        <f t="shared" ref="S26:S67" si="2">R26*Q26/I26</f>
        <v>1.0886142298617689</v>
      </c>
      <c r="T26">
        <v>1.0886142298610977</v>
      </c>
      <c r="U26" s="9">
        <f>S26-T26</f>
        <v>6.7124084068836964E-13</v>
      </c>
      <c r="V26"/>
      <c r="W26"/>
      <c r="X26"/>
      <c r="Y26"/>
      <c r="Z26"/>
      <c r="AA26"/>
      <c r="AB26"/>
      <c r="AC26"/>
      <c r="AD26"/>
      <c r="AE26" s="9"/>
      <c r="AF26"/>
      <c r="AG26"/>
    </row>
    <row r="27" spans="1:33" x14ac:dyDescent="0.3">
      <c r="A27">
        <v>0.01</v>
      </c>
      <c r="B27">
        <f t="shared" ref="B27:B61" si="3">(A27*F$3+F$5)</f>
        <v>0.28603833333333328</v>
      </c>
      <c r="C27">
        <f>$F$7*B27/($D$14-B27)</f>
        <v>6.8122433743934309E-4</v>
      </c>
      <c r="D27">
        <f t="shared" ref="D27:D61" si="4">-A27*(C27-B$20)</f>
        <v>5.4654099788478292E-3</v>
      </c>
      <c r="E27">
        <f>D27/B27</f>
        <v>1.9107264103929534E-2</v>
      </c>
      <c r="F27">
        <f t="shared" ref="F27:F61" si="5">(B$12*A27-D$12*B27)/(-C$12)</f>
        <v>0.56855999999999984</v>
      </c>
      <c r="G27">
        <f>F27*E27/A27</f>
        <v>1.0863626078930173</v>
      </c>
      <c r="I27">
        <v>0.01</v>
      </c>
      <c r="J27">
        <f t="shared" ref="J27:J67" si="6">$F$5*(1+$F$6*T27)</f>
        <v>0.3458389834456469</v>
      </c>
      <c r="K27" s="7">
        <f>$F$3*(1+$F$4*T27)</f>
        <v>2.5273692519880857</v>
      </c>
      <c r="L27">
        <f t="shared" ref="L27:L67" si="7">I27*K27+J27</f>
        <v>0.37111267596552777</v>
      </c>
      <c r="M27" s="7">
        <f t="shared" ref="M27:M67" si="8">$B$14*(1-T27/$F$8)</f>
        <v>0.14776784521117156</v>
      </c>
      <c r="N27" s="7">
        <f t="shared" ref="N27:N67" si="9">M27*K27+J27</f>
        <v>0.71930289186489682</v>
      </c>
      <c r="O27">
        <f t="shared" ref="O27:O67" si="10">-$F$7*(I27+J27/K27)/(I27+J27/K27-N27/K27)</f>
        <v>2.9606476496933536E-3</v>
      </c>
      <c r="P27">
        <f t="shared" ref="P27:P67" si="11">I27*($B$20-O27)</f>
        <v>5.4426157457252893E-3</v>
      </c>
      <c r="Q27">
        <f t="shared" si="0"/>
        <v>1.4665669211015706E-2</v>
      </c>
      <c r="R27">
        <f t="shared" si="1"/>
        <v>0.73870868526438904</v>
      </c>
      <c r="S27">
        <f t="shared" si="2"/>
        <v>1.0833657221391841</v>
      </c>
      <c r="T27">
        <v>1.0833657221374842</v>
      </c>
      <c r="U27" s="9">
        <f>S27-T27</f>
        <v>1.6999734953060397E-12</v>
      </c>
      <c r="AE27" s="9"/>
    </row>
    <row r="28" spans="1:33" x14ac:dyDescent="0.3">
      <c r="A28">
        <f>A27+0.01</f>
        <v>0.02</v>
      </c>
      <c r="B28">
        <f t="shared" si="3"/>
        <v>0.31085444444444443</v>
      </c>
      <c r="C28">
        <f>$F$7*B28/($D$14-B28)</f>
        <v>7.5642003559623727E-4</v>
      </c>
      <c r="D28">
        <f t="shared" si="4"/>
        <v>1.0929316043732521E-2</v>
      </c>
      <c r="E28">
        <f>D28/B28</f>
        <v>3.5158950560495512E-2</v>
      </c>
      <c r="F28">
        <f t="shared" si="5"/>
        <v>0.61467555555555553</v>
      </c>
      <c r="G28">
        <f>F28*E28/A28</f>
        <v>1.0805673734261445</v>
      </c>
      <c r="I28">
        <f>I27+0.01</f>
        <v>0.02</v>
      </c>
      <c r="J28">
        <f t="shared" si="6"/>
        <v>0.34542434137959582</v>
      </c>
      <c r="K28" s="7">
        <f t="shared" ref="K28:K67" si="12">$F$3*(1+$F$4*T28)</f>
        <v>2.5271450263169832</v>
      </c>
      <c r="L28">
        <f t="shared" si="7"/>
        <v>0.39596724190593546</v>
      </c>
      <c r="M28" s="7">
        <f t="shared" si="8"/>
        <v>0.14939586104489636</v>
      </c>
      <c r="N28" s="7">
        <f t="shared" si="9"/>
        <v>0.72296934857154882</v>
      </c>
      <c r="O28">
        <f t="shared" si="10"/>
        <v>3.3636144320593406E-3</v>
      </c>
      <c r="P28">
        <f t="shared" si="11"/>
        <v>1.0877172155803258E-2</v>
      </c>
      <c r="Q28">
        <f t="shared" si="0"/>
        <v>2.7469878829994729E-2</v>
      </c>
      <c r="R28">
        <f t="shared" si="1"/>
        <v>0.78490115047853759</v>
      </c>
      <c r="S28">
        <f t="shared" si="2"/>
        <v>1.0780569748584443</v>
      </c>
      <c r="T28">
        <v>1.0780569748535989</v>
      </c>
      <c r="U28" s="9">
        <f>S28-T28</f>
        <v>4.8454573686740332E-12</v>
      </c>
      <c r="AE28" s="9"/>
    </row>
    <row r="29" spans="1:33" x14ac:dyDescent="0.3">
      <c r="A29">
        <f t="shared" ref="A29:A72" si="13">A28+0.01</f>
        <v>0.03</v>
      </c>
      <c r="B29">
        <f t="shared" si="3"/>
        <v>0.33567055555555553</v>
      </c>
      <c r="C29">
        <f t="shared" ref="C29:C61" si="14">$F$7*B29/($D$14-B29)</f>
        <v>8.3495776478232633E-4</v>
      </c>
      <c r="D29">
        <f t="shared" si="4"/>
        <v>1.6391617933723197E-2</v>
      </c>
      <c r="E29">
        <f t="shared" ref="E29:E56" si="15">D29/B29</f>
        <v>4.8832456890935981E-2</v>
      </c>
      <c r="F29">
        <f t="shared" si="5"/>
        <v>0.66079111111111111</v>
      </c>
      <c r="G29">
        <f t="shared" ref="G29:G56" si="16">F29*E29/A29</f>
        <v>1.0756017815749008</v>
      </c>
      <c r="I29">
        <f t="shared" ref="I29:I72" si="17">I28+0.01</f>
        <v>0.03</v>
      </c>
      <c r="J29">
        <f t="shared" si="6"/>
        <v>0.34504257011527317</v>
      </c>
      <c r="K29" s="7">
        <f t="shared" si="12"/>
        <v>2.5269385761640453</v>
      </c>
      <c r="L29">
        <f t="shared" si="7"/>
        <v>0.42085072740019452</v>
      </c>
      <c r="M29" s="7">
        <f t="shared" si="8"/>
        <v>0.15089481571946076</v>
      </c>
      <c r="N29" s="7">
        <f t="shared" si="9"/>
        <v>0.7263445008999434</v>
      </c>
      <c r="O29">
        <f t="shared" si="10"/>
        <v>3.8266894442443846E-3</v>
      </c>
      <c r="P29">
        <f t="shared" si="11"/>
        <v>1.6301865983339336E-2</v>
      </c>
      <c r="Q29">
        <f t="shared" si="0"/>
        <v>3.8735506254305697E-2</v>
      </c>
      <c r="R29">
        <f t="shared" si="1"/>
        <v>0.8311514548003891</v>
      </c>
      <c r="S29">
        <f t="shared" si="2"/>
        <v>1.0731690791898585</v>
      </c>
      <c r="T29">
        <v>1.0731690791756714</v>
      </c>
      <c r="U29" s="9">
        <f t="shared" ref="U29:U65" si="18">S29-T29</f>
        <v>1.4187095942475025E-11</v>
      </c>
      <c r="AE29" s="9"/>
    </row>
    <row r="30" spans="1:33" x14ac:dyDescent="0.3">
      <c r="A30">
        <f t="shared" si="13"/>
        <v>0.04</v>
      </c>
      <c r="B30">
        <f t="shared" si="3"/>
        <v>0.36048666666666662</v>
      </c>
      <c r="C30">
        <f t="shared" si="14"/>
        <v>9.1706539074960151E-4</v>
      </c>
      <c r="D30">
        <f t="shared" si="4"/>
        <v>2.1852206273258904E-2</v>
      </c>
      <c r="E30">
        <f t="shared" si="15"/>
        <v>6.0618625580027667E-2</v>
      </c>
      <c r="F30">
        <f t="shared" si="5"/>
        <v>0.70690666666666668</v>
      </c>
      <c r="G30">
        <f t="shared" si="16"/>
        <v>1.0712927636673024</v>
      </c>
      <c r="I30">
        <f t="shared" si="17"/>
        <v>0.04</v>
      </c>
      <c r="J30">
        <f t="shared" si="6"/>
        <v>0.3446846177113852</v>
      </c>
      <c r="K30" s="7">
        <f t="shared" si="12"/>
        <v>2.5267450065179426</v>
      </c>
      <c r="L30">
        <f t="shared" si="7"/>
        <v>0.44575441797210291</v>
      </c>
      <c r="M30" s="7">
        <f t="shared" si="8"/>
        <v>0.1523002500180099</v>
      </c>
      <c r="N30" s="7">
        <f t="shared" si="9"/>
        <v>0.72950851393582594</v>
      </c>
      <c r="O30">
        <f t="shared" si="10"/>
        <v>4.3636611213798138E-3</v>
      </c>
      <c r="P30">
        <f t="shared" si="11"/>
        <v>2.17143424440337E-2</v>
      </c>
      <c r="Q30">
        <f t="shared" si="0"/>
        <v>4.8713689799912807E-2</v>
      </c>
      <c r="R30">
        <f t="shared" si="1"/>
        <v>0.87744216927753926</v>
      </c>
      <c r="S30">
        <f t="shared" si="2"/>
        <v>1.0685861412887159</v>
      </c>
      <c r="T30">
        <v>1.0685861412456199</v>
      </c>
      <c r="U30" s="9">
        <f t="shared" si="18"/>
        <v>4.3095971236084551E-11</v>
      </c>
    </row>
    <row r="31" spans="1:33" x14ac:dyDescent="0.3">
      <c r="A31">
        <f t="shared" si="13"/>
        <v>0.05</v>
      </c>
      <c r="B31">
        <f t="shared" si="3"/>
        <v>0.38530277777777777</v>
      </c>
      <c r="C31">
        <f t="shared" si="14"/>
        <v>1.0029919760641919E-3</v>
      </c>
      <c r="D31">
        <f t="shared" si="4"/>
        <v>2.7310961512307903E-2</v>
      </c>
      <c r="E31">
        <f t="shared" si="15"/>
        <v>7.0881818371056282E-2</v>
      </c>
      <c r="F31">
        <f t="shared" si="5"/>
        <v>0.75302222222222215</v>
      </c>
      <c r="G31">
        <f t="shared" si="16"/>
        <v>1.0675116876984947</v>
      </c>
      <c r="I31">
        <f t="shared" si="17"/>
        <v>0.05</v>
      </c>
      <c r="J31">
        <f t="shared" si="6"/>
        <v>0.34434221886785832</v>
      </c>
      <c r="K31" s="7">
        <f t="shared" si="12"/>
        <v>2.5265598477587128</v>
      </c>
      <c r="L31">
        <f t="shared" si="7"/>
        <v>0.470670211255794</v>
      </c>
      <c r="M31" s="7">
        <f t="shared" si="8"/>
        <v>0.15364461612157401</v>
      </c>
      <c r="N31" s="7">
        <f t="shared" si="9"/>
        <v>0.7325345367849283</v>
      </c>
      <c r="O31">
        <f t="shared" si="10"/>
        <v>4.9927276304112559E-3</v>
      </c>
      <c r="P31">
        <f t="shared" si="11"/>
        <v>2.7111474729590551E-2</v>
      </c>
      <c r="Q31">
        <f t="shared" si="0"/>
        <v>5.7601849620468847E-2</v>
      </c>
      <c r="R31">
        <f t="shared" si="1"/>
        <v>0.92375708917825472</v>
      </c>
      <c r="S31">
        <f t="shared" si="2"/>
        <v>1.0642023387337571</v>
      </c>
      <c r="T31">
        <v>1.0642023387339978</v>
      </c>
      <c r="U31" s="9">
        <f t="shared" si="18"/>
        <v>-2.4069635173873394E-13</v>
      </c>
    </row>
    <row r="32" spans="1:33" x14ac:dyDescent="0.3">
      <c r="A32">
        <f t="shared" si="13"/>
        <v>6.0000000000000005E-2</v>
      </c>
      <c r="B32">
        <f t="shared" si="3"/>
        <v>0.41011888888888887</v>
      </c>
      <c r="C32">
        <f t="shared" si="14"/>
        <v>1.0930103035366198E-3</v>
      </c>
      <c r="D32">
        <f t="shared" si="4"/>
        <v>3.2767752715121147E-2</v>
      </c>
      <c r="E32">
        <f t="shared" si="15"/>
        <v>7.9898179778787812E-2</v>
      </c>
      <c r="F32">
        <f t="shared" si="5"/>
        <v>0.79913777777777772</v>
      </c>
      <c r="G32">
        <f t="shared" si="16"/>
        <v>1.0641608972818311</v>
      </c>
      <c r="I32">
        <f t="shared" si="17"/>
        <v>6.0000000000000005E-2</v>
      </c>
      <c r="J32">
        <f t="shared" si="6"/>
        <v>0.34400726975309115</v>
      </c>
      <c r="K32" s="7">
        <f t="shared" si="12"/>
        <v>2.5263787175835732</v>
      </c>
      <c r="L32">
        <f t="shared" si="7"/>
        <v>0.49558999280810556</v>
      </c>
      <c r="M32" s="7">
        <f t="shared" si="8"/>
        <v>0.15495973223491558</v>
      </c>
      <c r="N32" s="7">
        <f t="shared" si="9"/>
        <v>0.73549423935383107</v>
      </c>
      <c r="O32">
        <f t="shared" si="10"/>
        <v>5.738284706223484E-3</v>
      </c>
      <c r="P32">
        <f t="shared" si="11"/>
        <v>3.2489036250959925E-2</v>
      </c>
      <c r="Q32">
        <f t="shared" si="0"/>
        <v>6.5556279832994557E-2</v>
      </c>
      <c r="R32">
        <f t="shared" si="1"/>
        <v>0.97007998561621112</v>
      </c>
      <c r="S32">
        <f t="shared" si="2"/>
        <v>1.0599139166240612</v>
      </c>
      <c r="T32">
        <v>1.0599139166252753</v>
      </c>
      <c r="U32" s="9">
        <f t="shared" si="18"/>
        <v>-1.2141398997300712E-12</v>
      </c>
    </row>
    <row r="33" spans="1:33" x14ac:dyDescent="0.3">
      <c r="A33">
        <f t="shared" si="13"/>
        <v>7.0000000000000007E-2</v>
      </c>
      <c r="B33">
        <f t="shared" si="3"/>
        <v>0.43493499999999996</v>
      </c>
      <c r="C33">
        <f t="shared" si="14"/>
        <v>1.1874197689345318E-3</v>
      </c>
      <c r="D33">
        <f t="shared" si="4"/>
        <v>3.8222436171730143E-2</v>
      </c>
      <c r="E33">
        <f t="shared" si="15"/>
        <v>8.7880800974237866E-2</v>
      </c>
      <c r="F33">
        <f t="shared" si="5"/>
        <v>0.8452533333333333</v>
      </c>
      <c r="G33">
        <f t="shared" si="16"/>
        <v>1.0611648565639684</v>
      </c>
      <c r="I33">
        <f t="shared" si="17"/>
        <v>7.0000000000000007E-2</v>
      </c>
      <c r="J33">
        <f t="shared" si="6"/>
        <v>0.34367117102752309</v>
      </c>
      <c r="K33" s="7">
        <f t="shared" si="12"/>
        <v>2.5261969657342851</v>
      </c>
      <c r="L33">
        <f t="shared" si="7"/>
        <v>0.5205049586289231</v>
      </c>
      <c r="M33" s="7">
        <f t="shared" si="8"/>
        <v>0.15627936208369228</v>
      </c>
      <c r="N33" s="7">
        <f t="shared" si="9"/>
        <v>0.73846362133023624</v>
      </c>
      <c r="O33">
        <f t="shared" si="10"/>
        <v>6.633584044713689E-3</v>
      </c>
      <c r="P33">
        <f t="shared" si="11"/>
        <v>3.7841204672425605E-2</v>
      </c>
      <c r="Q33">
        <f t="shared" si="0"/>
        <v>7.2700949424390107E-2</v>
      </c>
      <c r="R33">
        <f t="shared" si="1"/>
        <v>1.0163932505911795</v>
      </c>
      <c r="S33">
        <f t="shared" si="2"/>
        <v>1.05561077580744</v>
      </c>
      <c r="T33">
        <v>1.0556107758140469</v>
      </c>
      <c r="U33" s="9">
        <f t="shared" si="18"/>
        <v>-6.6069372195443066E-12</v>
      </c>
    </row>
    <row r="34" spans="1:33" x14ac:dyDescent="0.3">
      <c r="A34">
        <f t="shared" si="13"/>
        <v>0.08</v>
      </c>
      <c r="B34">
        <f t="shared" si="3"/>
        <v>0.45975111111111111</v>
      </c>
      <c r="C34">
        <f t="shared" si="14"/>
        <v>1.2865497076023397E-3</v>
      </c>
      <c r="D34">
        <f t="shared" si="4"/>
        <v>4.3674853801169596E-2</v>
      </c>
      <c r="E34">
        <f t="shared" si="15"/>
        <v>9.4996733549197243E-2</v>
      </c>
      <c r="F34">
        <f t="shared" si="5"/>
        <v>0.89136888888888877</v>
      </c>
      <c r="G34">
        <f t="shared" si="16"/>
        <v>1.058464160397772</v>
      </c>
      <c r="I34">
        <f t="shared" si="17"/>
        <v>0.08</v>
      </c>
      <c r="J34">
        <f t="shared" si="6"/>
        <v>0.34332403896525948</v>
      </c>
      <c r="K34" s="7">
        <f t="shared" si="12"/>
        <v>2.5260092473959994</v>
      </c>
      <c r="L34">
        <f t="shared" si="7"/>
        <v>0.54540477875693938</v>
      </c>
      <c r="M34" s="7">
        <f t="shared" si="8"/>
        <v>0.15764231230034753</v>
      </c>
      <c r="N34" s="7">
        <f t="shared" si="9"/>
        <v>0.74152997761682538</v>
      </c>
      <c r="O34">
        <f t="shared" si="10"/>
        <v>7.7247252425078437E-3</v>
      </c>
      <c r="P34">
        <f t="shared" si="11"/>
        <v>4.3159799758377151E-2</v>
      </c>
      <c r="Q34">
        <f t="shared" si="0"/>
        <v>7.9133519615917039E-2</v>
      </c>
      <c r="R34">
        <f t="shared" si="1"/>
        <v>1.0626762241805454</v>
      </c>
      <c r="S34">
        <f t="shared" si="2"/>
        <v>1.051166372894498</v>
      </c>
      <c r="T34">
        <v>1.0511663729336493</v>
      </c>
      <c r="U34" s="9">
        <f t="shared" si="18"/>
        <v>-3.915134882959137E-11</v>
      </c>
    </row>
    <row r="35" spans="1:33" x14ac:dyDescent="0.3">
      <c r="A35">
        <f t="shared" si="13"/>
        <v>0.09</v>
      </c>
      <c r="B35">
        <f t="shared" si="3"/>
        <v>0.48456722222222215</v>
      </c>
      <c r="C35">
        <f t="shared" si="14"/>
        <v>1.3907632328684961E-3</v>
      </c>
      <c r="D35">
        <f t="shared" si="4"/>
        <v>4.9124831309041841E-2</v>
      </c>
      <c r="E35">
        <f t="shared" si="15"/>
        <v>0.10137877482458611</v>
      </c>
      <c r="F35">
        <f t="shared" si="5"/>
        <v>0.93748444444444434</v>
      </c>
      <c r="G35">
        <f t="shared" si="16"/>
        <v>1.0560113821653947</v>
      </c>
      <c r="I35">
        <f t="shared" si="17"/>
        <v>0.09</v>
      </c>
      <c r="J35">
        <f t="shared" si="6"/>
        <v>0.34295366225092883</v>
      </c>
      <c r="K35" s="7">
        <f t="shared" si="12"/>
        <v>2.5258089590650958</v>
      </c>
      <c r="L35">
        <f t="shared" si="7"/>
        <v>0.57027646856678738</v>
      </c>
      <c r="M35" s="7">
        <f t="shared" si="8"/>
        <v>0.1590965283694403</v>
      </c>
      <c r="N35" s="7">
        <f t="shared" si="9"/>
        <v>0.74480109896261526</v>
      </c>
      <c r="O35">
        <f t="shared" si="10"/>
        <v>9.0766632651311917E-3</v>
      </c>
      <c r="P35">
        <f t="shared" si="11"/>
        <v>4.8433100306138191E-2</v>
      </c>
      <c r="Q35">
        <f t="shared" si="0"/>
        <v>8.4929158006220612E-2</v>
      </c>
      <c r="R35">
        <f t="shared" si="1"/>
        <v>1.1089029371335748</v>
      </c>
      <c r="S35">
        <f t="shared" si="2"/>
        <v>1.0464243640153277</v>
      </c>
      <c r="T35">
        <v>1.0464243640126947</v>
      </c>
      <c r="U35" s="9">
        <f t="shared" si="18"/>
        <v>2.6330049252010213E-12</v>
      </c>
    </row>
    <row r="36" spans="1:33" x14ac:dyDescent="0.3">
      <c r="A36">
        <f t="shared" si="13"/>
        <v>9.9999999999999992E-2</v>
      </c>
      <c r="B36">
        <f t="shared" si="3"/>
        <v>0.5093833333333333</v>
      </c>
      <c r="C36">
        <f t="shared" si="14"/>
        <v>1.5004616805170826E-3</v>
      </c>
      <c r="D36">
        <f t="shared" si="4"/>
        <v>5.4572176054170515E-2</v>
      </c>
      <c r="E36">
        <f t="shared" si="15"/>
        <v>0.10713380765141613</v>
      </c>
      <c r="F36">
        <f t="shared" si="5"/>
        <v>0.98359999999999992</v>
      </c>
      <c r="G36">
        <f t="shared" si="16"/>
        <v>1.0537681320593291</v>
      </c>
      <c r="I36">
        <f t="shared" si="17"/>
        <v>9.9999999999999992E-2</v>
      </c>
      <c r="J36">
        <f t="shared" si="6"/>
        <v>0.34254405758338469</v>
      </c>
      <c r="K36" s="7">
        <f t="shared" si="12"/>
        <v>2.5255874574641091</v>
      </c>
      <c r="L36">
        <f t="shared" si="7"/>
        <v>0.59510280332979559</v>
      </c>
      <c r="M36" s="7">
        <f t="shared" si="8"/>
        <v>0.16070476578413445</v>
      </c>
      <c r="N36" s="7">
        <f t="shared" si="9"/>
        <v>0.74841799840250189</v>
      </c>
      <c r="O36">
        <f t="shared" si="10"/>
        <v>1.0782123336169239E-2</v>
      </c>
      <c r="P36">
        <f t="shared" si="11"/>
        <v>5.36440098886053E-2</v>
      </c>
      <c r="Q36">
        <f t="shared" si="0"/>
        <v>9.0142425121255434E-2</v>
      </c>
      <c r="R36">
        <f t="shared" si="1"/>
        <v>1.1550389399929244</v>
      </c>
      <c r="S36">
        <f t="shared" si="2"/>
        <v>1.0411801116044643</v>
      </c>
      <c r="T36">
        <v>1.0411801115734747</v>
      </c>
      <c r="U36" s="9">
        <f t="shared" si="18"/>
        <v>3.0989655286361995E-11</v>
      </c>
    </row>
    <row r="37" spans="1:33" x14ac:dyDescent="0.3">
      <c r="A37">
        <f t="shared" si="13"/>
        <v>0.10999999999999999</v>
      </c>
      <c r="B37">
        <f t="shared" si="3"/>
        <v>0.53419944444444434</v>
      </c>
      <c r="C37">
        <f t="shared" si="14"/>
        <v>1.6160897739845108E-3</v>
      </c>
      <c r="D37">
        <f t="shared" si="4"/>
        <v>6.0016674569306143E-2</v>
      </c>
      <c r="E37">
        <f t="shared" si="15"/>
        <v>0.11234881502305223</v>
      </c>
      <c r="F37">
        <f t="shared" si="5"/>
        <v>1.0297155555555553</v>
      </c>
      <c r="G37">
        <f t="shared" si="16"/>
        <v>1.0517029316133688</v>
      </c>
      <c r="I37">
        <f t="shared" si="17"/>
        <v>0.10999999999999999</v>
      </c>
      <c r="J37">
        <f t="shared" si="6"/>
        <v>0.34207349992551306</v>
      </c>
      <c r="K37" s="7">
        <f t="shared" si="12"/>
        <v>2.5253329943614293</v>
      </c>
      <c r="L37">
        <f t="shared" si="7"/>
        <v>0.61986012930527024</v>
      </c>
      <c r="M37" s="7">
        <f t="shared" si="8"/>
        <v>0.16255232390816013</v>
      </c>
      <c r="N37" s="7">
        <f t="shared" si="9"/>
        <v>0.75257224680091606</v>
      </c>
      <c r="O37">
        <f t="shared" si="10"/>
        <v>1.2974201037604062E-2</v>
      </c>
      <c r="P37">
        <f t="shared" si="11"/>
        <v>5.8767282330308E-2</v>
      </c>
      <c r="Q37">
        <f t="shared" si="0"/>
        <v>9.4807327575937933E-2</v>
      </c>
      <c r="R37">
        <f t="shared" si="1"/>
        <v>1.2010369252772073</v>
      </c>
      <c r="S37">
        <f t="shared" si="2"/>
        <v>1.0351554655050317</v>
      </c>
      <c r="T37">
        <v>1.0351554655168691</v>
      </c>
      <c r="U37" s="9">
        <f t="shared" si="18"/>
        <v>-1.1837419933158344E-11</v>
      </c>
    </row>
    <row r="38" spans="1:33" x14ac:dyDescent="0.3">
      <c r="A38">
        <f t="shared" si="13"/>
        <v>0.11999999999999998</v>
      </c>
      <c r="B38">
        <f t="shared" si="3"/>
        <v>0.55901555555555549</v>
      </c>
      <c r="C38">
        <f t="shared" si="14"/>
        <v>1.7381416504223526E-3</v>
      </c>
      <c r="D38">
        <f t="shared" si="4"/>
        <v>6.5458089668615993E-2</v>
      </c>
      <c r="E38">
        <f t="shared" si="15"/>
        <v>0.11709529192539743</v>
      </c>
      <c r="F38">
        <f t="shared" si="5"/>
        <v>1.0758311111111112</v>
      </c>
      <c r="G38">
        <f t="shared" si="16"/>
        <v>1.0497896501498356</v>
      </c>
      <c r="I38">
        <f t="shared" si="17"/>
        <v>0.11999999999999998</v>
      </c>
      <c r="J38">
        <f t="shared" si="6"/>
        <v>0.34151212911649309</v>
      </c>
      <c r="K38" s="7">
        <f t="shared" si="12"/>
        <v>2.5250294223008591</v>
      </c>
      <c r="L38">
        <f t="shared" si="7"/>
        <v>0.64451565979259606</v>
      </c>
      <c r="M38" s="7">
        <f t="shared" si="8"/>
        <v>0.16475644317270854</v>
      </c>
      <c r="N38" s="7">
        <f t="shared" si="9"/>
        <v>0.75752699564122161</v>
      </c>
      <c r="O38">
        <f t="shared" si="10"/>
        <v>1.5841961903713137E-2</v>
      </c>
      <c r="P38">
        <f t="shared" si="11"/>
        <v>6.3765631238221085E-2</v>
      </c>
      <c r="Q38">
        <f t="shared" si="0"/>
        <v>9.8935736113441752E-2</v>
      </c>
      <c r="R38">
        <f t="shared" si="1"/>
        <v>1.2468313195851921</v>
      </c>
      <c r="S38">
        <f t="shared" si="2"/>
        <v>1.0279681201037913</v>
      </c>
      <c r="T38">
        <v>1.0279681200889939</v>
      </c>
      <c r="U38" s="9">
        <f t="shared" si="18"/>
        <v>1.4797496561413936E-11</v>
      </c>
    </row>
    <row r="39" spans="1:33" x14ac:dyDescent="0.3">
      <c r="A39">
        <f t="shared" si="13"/>
        <v>0.12999999999999998</v>
      </c>
      <c r="B39">
        <f t="shared" si="3"/>
        <v>0.58383166666666653</v>
      </c>
      <c r="C39">
        <f t="shared" si="14"/>
        <v>1.8671679197994988E-3</v>
      </c>
      <c r="D39">
        <f t="shared" si="4"/>
        <v>7.0896157059314957E-2</v>
      </c>
      <c r="E39">
        <f t="shared" si="15"/>
        <v>0.12143253116791365</v>
      </c>
      <c r="F39">
        <f t="shared" si="5"/>
        <v>1.1219466666666664</v>
      </c>
      <c r="G39">
        <f t="shared" si="16"/>
        <v>1.0480063351441293</v>
      </c>
      <c r="I39">
        <f t="shared" si="17"/>
        <v>0.12999999999999998</v>
      </c>
      <c r="J39">
        <f t="shared" si="6"/>
        <v>0.34082003271268213</v>
      </c>
      <c r="K39" s="7">
        <f t="shared" si="12"/>
        <v>2.5246551578609524</v>
      </c>
      <c r="L39">
        <f t="shared" si="7"/>
        <v>0.6690252032346059</v>
      </c>
      <c r="M39" s="7">
        <f t="shared" si="8"/>
        <v>0.16747383244919684</v>
      </c>
      <c r="N39" s="7">
        <f t="shared" si="9"/>
        <v>0.76363370761228788</v>
      </c>
      <c r="O39">
        <f t="shared" si="10"/>
        <v>1.9643089746979935E-2</v>
      </c>
      <c r="P39">
        <f t="shared" si="11"/>
        <v>6.8585287221781491E-2</v>
      </c>
      <c r="Q39">
        <f t="shared" si="0"/>
        <v>0.10251525187718646</v>
      </c>
      <c r="R39">
        <f t="shared" si="1"/>
        <v>1.292333739802545</v>
      </c>
      <c r="S39">
        <f t="shared" si="2"/>
        <v>1.0191070680403405</v>
      </c>
      <c r="T39">
        <v>1.019107068100445</v>
      </c>
      <c r="U39" s="9">
        <f t="shared" si="18"/>
        <v>-6.010458797334195E-11</v>
      </c>
    </row>
    <row r="40" spans="1:33" x14ac:dyDescent="0.3">
      <c r="A40">
        <f t="shared" si="13"/>
        <v>0.13999999999999999</v>
      </c>
      <c r="B40">
        <f t="shared" si="3"/>
        <v>0.60864777777777768</v>
      </c>
      <c r="C40">
        <f t="shared" si="14"/>
        <v>2.0037839697282425E-3</v>
      </c>
      <c r="D40">
        <f t="shared" si="4"/>
        <v>7.6330581355349161E-2</v>
      </c>
      <c r="E40">
        <f t="shared" si="15"/>
        <v>0.1254101044023167</v>
      </c>
      <c r="F40">
        <f t="shared" si="5"/>
        <v>1.1680622222222221</v>
      </c>
      <c r="G40">
        <f t="shared" si="16"/>
        <v>1.0463343231235067</v>
      </c>
      <c r="I40">
        <f t="shared" si="17"/>
        <v>0.13999999999999999</v>
      </c>
      <c r="J40">
        <f t="shared" si="6"/>
        <v>0.33994850653820952</v>
      </c>
      <c r="K40" s="7">
        <f t="shared" si="12"/>
        <v>2.5241838633219875</v>
      </c>
      <c r="L40">
        <f t="shared" si="7"/>
        <v>0.69333424740328775</v>
      </c>
      <c r="M40" s="7">
        <f t="shared" si="8"/>
        <v>0.170895719729134</v>
      </c>
      <c r="N40" s="7">
        <f t="shared" si="9"/>
        <v>0.77132072458928658</v>
      </c>
      <c r="O40">
        <f t="shared" si="10"/>
        <v>2.4695672051139962E-2</v>
      </c>
      <c r="P40">
        <f t="shared" si="11"/>
        <v>7.3153717023951514E-2</v>
      </c>
      <c r="Q40">
        <f t="shared" si="0"/>
        <v>0.10551002968327426</v>
      </c>
      <c r="R40">
        <f t="shared" si="1"/>
        <v>1.337435161473242</v>
      </c>
      <c r="S40">
        <f t="shared" si="2"/>
        <v>1.0079487399035463</v>
      </c>
      <c r="T40">
        <v>1.0079487400136935</v>
      </c>
      <c r="U40" s="9">
        <f t="shared" si="18"/>
        <v>-1.1014722467450611E-10</v>
      </c>
      <c r="AE40" s="9"/>
    </row>
    <row r="41" spans="1:33" x14ac:dyDescent="0.3">
      <c r="A41">
        <f t="shared" si="13"/>
        <v>0.15</v>
      </c>
      <c r="B41">
        <f t="shared" si="3"/>
        <v>0.63346388888888883</v>
      </c>
      <c r="C41">
        <f t="shared" si="14"/>
        <v>2.1486797802587284E-3</v>
      </c>
      <c r="D41">
        <f t="shared" si="4"/>
        <v>8.1761031366294534E-2</v>
      </c>
      <c r="E41">
        <f t="shared" si="15"/>
        <v>0.1290697588298291</v>
      </c>
      <c r="F41">
        <f t="shared" si="5"/>
        <v>1.2141777777777778</v>
      </c>
      <c r="G41">
        <f t="shared" si="16"/>
        <v>1.0447575530287709</v>
      </c>
      <c r="I41">
        <f t="shared" si="17"/>
        <v>0.15</v>
      </c>
      <c r="J41">
        <f t="shared" si="6"/>
        <v>0.33884897825547533</v>
      </c>
      <c r="K41" s="7">
        <f t="shared" si="12"/>
        <v>2.5235892722583242</v>
      </c>
      <c r="L41">
        <f t="shared" si="7"/>
        <v>0.71738736909422396</v>
      </c>
      <c r="M41" s="7">
        <f t="shared" si="8"/>
        <v>0.17521281536529854</v>
      </c>
      <c r="N41" s="7">
        <f t="shared" si="9"/>
        <v>0.78101415947352115</v>
      </c>
      <c r="O41">
        <f t="shared" si="10"/>
        <v>3.1319239585229766E-2</v>
      </c>
      <c r="P41">
        <f t="shared" si="11"/>
        <v>7.7385447395548881E-2</v>
      </c>
      <c r="Q41">
        <f t="shared" si="0"/>
        <v>0.10787121537037381</v>
      </c>
      <c r="R41">
        <f t="shared" si="1"/>
        <v>1.3820247381884478</v>
      </c>
      <c r="S41">
        <f t="shared" si="2"/>
        <v>0.99387125453540359</v>
      </c>
      <c r="T41">
        <v>0.99387125424359168</v>
      </c>
      <c r="U41" s="9">
        <f t="shared" si="18"/>
        <v>2.9181190797089585E-10</v>
      </c>
      <c r="AE41" s="9"/>
    </row>
    <row r="42" spans="1:33" x14ac:dyDescent="0.3">
      <c r="A42">
        <f t="shared" si="13"/>
        <v>0.16</v>
      </c>
      <c r="B42">
        <f t="shared" si="3"/>
        <v>0.65827999999999998</v>
      </c>
      <c r="C42">
        <f t="shared" si="14"/>
        <v>2.3026315789473691E-3</v>
      </c>
      <c r="D42">
        <f t="shared" si="4"/>
        <v>8.718713450292398E-2</v>
      </c>
      <c r="E42">
        <f t="shared" si="15"/>
        <v>0.1324468835494379</v>
      </c>
      <c r="F42">
        <f t="shared" si="5"/>
        <v>1.2602933333333333</v>
      </c>
      <c r="G42">
        <f t="shared" si="16"/>
        <v>1.0432620272383306</v>
      </c>
      <c r="I42">
        <f t="shared" si="17"/>
        <v>0.16</v>
      </c>
      <c r="J42">
        <f t="shared" si="6"/>
        <v>0.33749066007175255</v>
      </c>
      <c r="K42" s="7">
        <f t="shared" si="12"/>
        <v>2.5228547355789726</v>
      </c>
      <c r="L42">
        <f t="shared" si="7"/>
        <v>0.74114741776438819</v>
      </c>
      <c r="M42" s="7">
        <f t="shared" si="8"/>
        <v>0.18054600196500203</v>
      </c>
      <c r="N42" s="7">
        <f t="shared" si="9"/>
        <v>0.79298199611900844</v>
      </c>
      <c r="O42">
        <f t="shared" si="10"/>
        <v>3.9717557130274077E-2</v>
      </c>
      <c r="P42">
        <f t="shared" si="11"/>
        <v>8.1200746414711727E-2</v>
      </c>
      <c r="Q42">
        <f t="shared" si="0"/>
        <v>0.10956085721737691</v>
      </c>
      <c r="R42">
        <f t="shared" si="1"/>
        <v>1.4260281688621097</v>
      </c>
      <c r="S42">
        <f t="shared" si="2"/>
        <v>0.97648042872911911</v>
      </c>
      <c r="T42">
        <v>0.97648042837499349</v>
      </c>
      <c r="U42" s="9">
        <f t="shared" si="18"/>
        <v>3.5412561771863693E-10</v>
      </c>
      <c r="AE42" s="9"/>
    </row>
    <row r="43" spans="1:33" x14ac:dyDescent="0.3">
      <c r="A43">
        <f t="shared" si="13"/>
        <v>0.17</v>
      </c>
      <c r="B43">
        <f t="shared" si="3"/>
        <v>0.68309611111111113</v>
      </c>
      <c r="C43">
        <f t="shared" si="14"/>
        <v>2.4665157517449552E-3</v>
      </c>
      <c r="D43">
        <f t="shared" si="4"/>
        <v>9.2608470099981147E-2</v>
      </c>
      <c r="E43">
        <f t="shared" si="15"/>
        <v>0.13557165469635887</v>
      </c>
      <c r="F43">
        <f t="shared" si="5"/>
        <v>1.3064088888888887</v>
      </c>
      <c r="G43">
        <f t="shared" si="16"/>
        <v>1.0418353810394017</v>
      </c>
      <c r="I43">
        <f t="shared" si="17"/>
        <v>0.17</v>
      </c>
      <c r="J43">
        <f t="shared" si="6"/>
        <v>0.33587603612836636</v>
      </c>
      <c r="K43" s="7">
        <f t="shared" si="12"/>
        <v>2.5219815966311256</v>
      </c>
      <c r="L43">
        <f t="shared" si="7"/>
        <v>0.76461290755565781</v>
      </c>
      <c r="M43" s="7">
        <f t="shared" si="8"/>
        <v>0.18688552600407995</v>
      </c>
      <c r="N43" s="7">
        <f t="shared" si="9"/>
        <v>0.80719789338738368</v>
      </c>
      <c r="O43">
        <f t="shared" si="10"/>
        <v>4.9874966534046161E-2</v>
      </c>
      <c r="P43">
        <f t="shared" si="11"/>
        <v>8.4549033466989942E-2</v>
      </c>
      <c r="Q43">
        <f t="shared" si="0"/>
        <v>0.11057756497634777</v>
      </c>
      <c r="R43">
        <f t="shared" si="1"/>
        <v>1.4694424817779821</v>
      </c>
      <c r="S43">
        <f t="shared" si="2"/>
        <v>0.95580806769300308</v>
      </c>
      <c r="T43">
        <v>0.95580806737800017</v>
      </c>
      <c r="U43" s="9">
        <f t="shared" si="18"/>
        <v>3.1500291264308089E-10</v>
      </c>
      <c r="AE43" s="9"/>
    </row>
    <row r="44" spans="1:33" x14ac:dyDescent="0.3">
      <c r="A44">
        <f t="shared" si="13"/>
        <v>0.18000000000000002</v>
      </c>
      <c r="B44">
        <f t="shared" si="3"/>
        <v>0.70791222222222228</v>
      </c>
      <c r="C44">
        <f t="shared" si="14"/>
        <v>2.6413255360623797E-3</v>
      </c>
      <c r="D44">
        <f t="shared" si="4"/>
        <v>9.8024561403508806E-2</v>
      </c>
      <c r="E44">
        <f t="shared" si="15"/>
        <v>0.13846993783466235</v>
      </c>
      <c r="F44">
        <f t="shared" si="5"/>
        <v>1.3525244444444446</v>
      </c>
      <c r="G44">
        <f t="shared" si="16"/>
        <v>1.0404665319004638</v>
      </c>
      <c r="I44">
        <f t="shared" si="17"/>
        <v>0.18000000000000002</v>
      </c>
      <c r="J44">
        <f t="shared" si="6"/>
        <v>0.334038793820016</v>
      </c>
      <c r="K44" s="7">
        <f t="shared" si="12"/>
        <v>2.5209880725213027</v>
      </c>
      <c r="L44">
        <f t="shared" si="7"/>
        <v>0.78781664687385056</v>
      </c>
      <c r="M44" s="7">
        <f t="shared" si="8"/>
        <v>0.19409912012121658</v>
      </c>
      <c r="N44" s="7">
        <f t="shared" si="9"/>
        <v>0.82336036053248263</v>
      </c>
      <c r="O44">
        <f t="shared" si="10"/>
        <v>6.1568681192605806E-2</v>
      </c>
      <c r="P44">
        <f t="shared" si="11"/>
        <v>8.7417637385330968E-2</v>
      </c>
      <c r="Q44">
        <f t="shared" si="0"/>
        <v>0.11096190685004496</v>
      </c>
      <c r="R44">
        <f t="shared" si="1"/>
        <v>1.512333293747701</v>
      </c>
      <c r="S44">
        <f t="shared" si="2"/>
        <v>0.93228547815030038</v>
      </c>
      <c r="T44">
        <v>0.93228547786559812</v>
      </c>
      <c r="U44" s="9">
        <f t="shared" si="18"/>
        <v>2.8470226176580127E-10</v>
      </c>
      <c r="AE44" s="9"/>
    </row>
    <row r="45" spans="1:33" x14ac:dyDescent="0.3">
      <c r="A45">
        <f t="shared" si="13"/>
        <v>0.19000000000000003</v>
      </c>
      <c r="B45">
        <f t="shared" si="3"/>
        <v>0.73272833333333343</v>
      </c>
      <c r="C45">
        <f t="shared" si="14"/>
        <v>2.8281911675741098E-3</v>
      </c>
      <c r="D45">
        <f t="shared" si="4"/>
        <v>0.10343486590038316</v>
      </c>
      <c r="E45">
        <f t="shared" si="15"/>
        <v>0.14116400471350202</v>
      </c>
      <c r="F45">
        <f t="shared" si="5"/>
        <v>1.3986400000000003</v>
      </c>
      <c r="G45">
        <f t="shared" si="16"/>
        <v>1.0391453871183813</v>
      </c>
      <c r="I45">
        <f t="shared" si="17"/>
        <v>0.19000000000000003</v>
      </c>
      <c r="J45">
        <f t="shared" si="6"/>
        <v>0.33202653136758636</v>
      </c>
      <c r="K45" s="7">
        <f t="shared" si="12"/>
        <v>2.5198999029027962</v>
      </c>
      <c r="L45">
        <f t="shared" si="7"/>
        <v>0.81080751291911768</v>
      </c>
      <c r="M45" s="7">
        <f t="shared" si="8"/>
        <v>0.20199989865380671</v>
      </c>
      <c r="N45" s="7">
        <f t="shared" si="9"/>
        <v>0.84104605637168861</v>
      </c>
      <c r="O45">
        <f t="shared" si="10"/>
        <v>7.4482525753088474E-2</v>
      </c>
      <c r="P45">
        <f t="shared" si="11"/>
        <v>8.9820542329135444E-2</v>
      </c>
      <c r="Q45">
        <f t="shared" si="0"/>
        <v>0.11077911945556369</v>
      </c>
      <c r="R45">
        <f t="shared" si="1"/>
        <v>1.5547983591715688</v>
      </c>
      <c r="S45">
        <f t="shared" si="2"/>
        <v>0.90652206926306123</v>
      </c>
      <c r="T45">
        <v>0.90652206960715209</v>
      </c>
      <c r="U45" s="9">
        <f t="shared" si="18"/>
        <v>-3.4409086691056245E-10</v>
      </c>
      <c r="AE45" s="9"/>
    </row>
    <row r="46" spans="1:33" x14ac:dyDescent="0.3">
      <c r="A46">
        <f t="shared" si="13"/>
        <v>0.20000000000000004</v>
      </c>
      <c r="B46">
        <f t="shared" si="3"/>
        <v>0.75754444444444446</v>
      </c>
      <c r="C46">
        <f t="shared" si="14"/>
        <v>3.0284043441938199E-3</v>
      </c>
      <c r="D46">
        <f t="shared" si="4"/>
        <v>0.10883876357560571</v>
      </c>
      <c r="E46">
        <f t="shared" si="15"/>
        <v>0.14367310640819775</v>
      </c>
      <c r="F46">
        <f t="shared" si="5"/>
        <v>1.4447555555555553</v>
      </c>
      <c r="G46">
        <f t="shared" si="16"/>
        <v>1.0378625933358405</v>
      </c>
      <c r="I46">
        <f t="shared" si="17"/>
        <v>0.20000000000000004</v>
      </c>
      <c r="J46">
        <f t="shared" si="6"/>
        <v>0.32988451472125668</v>
      </c>
      <c r="K46" s="7">
        <f t="shared" si="12"/>
        <v>2.5187415662086656</v>
      </c>
      <c r="L46">
        <f t="shared" si="7"/>
        <v>0.83363282796298988</v>
      </c>
      <c r="M46" s="7">
        <f t="shared" si="8"/>
        <v>0.21041013317134649</v>
      </c>
      <c r="N46" s="7">
        <f t="shared" si="9"/>
        <v>0.85985326309142784</v>
      </c>
      <c r="O46">
        <f t="shared" si="10"/>
        <v>8.8314581089089059E-2</v>
      </c>
      <c r="P46">
        <f t="shared" si="11"/>
        <v>9.1781528226626663E-2</v>
      </c>
      <c r="Q46">
        <f t="shared" si="0"/>
        <v>0.11009826526493438</v>
      </c>
      <c r="R46">
        <f t="shared" si="1"/>
        <v>1.5969323225926464</v>
      </c>
      <c r="S46">
        <f t="shared" si="2"/>
        <v>0.87909739231476458</v>
      </c>
      <c r="T46">
        <v>0.87909739183256574</v>
      </c>
      <c r="U46" s="9">
        <f t="shared" si="18"/>
        <v>4.821988364156482E-10</v>
      </c>
      <c r="AE46" s="9"/>
    </row>
    <row r="47" spans="1:33" x14ac:dyDescent="0.3">
      <c r="A47">
        <f t="shared" si="13"/>
        <v>0.21000000000000005</v>
      </c>
      <c r="B47">
        <f t="shared" si="3"/>
        <v>0.78236055555555573</v>
      </c>
      <c r="C47">
        <f t="shared" si="14"/>
        <v>3.2434481264890657E-3</v>
      </c>
      <c r="D47">
        <f t="shared" si="4"/>
        <v>0.11423554256010401</v>
      </c>
      <c r="E47">
        <f t="shared" si="15"/>
        <v>0.14601393404730781</v>
      </c>
      <c r="F47">
        <f t="shared" si="5"/>
        <v>1.4908711111111115</v>
      </c>
      <c r="G47">
        <f t="shared" si="16"/>
        <v>1.0366093147181632</v>
      </c>
      <c r="I47">
        <f t="shared" si="17"/>
        <v>0.21000000000000005</v>
      </c>
      <c r="J47">
        <f t="shared" si="6"/>
        <v>0.32764861441703513</v>
      </c>
      <c r="K47" s="7">
        <f t="shared" si="12"/>
        <v>2.5175324601210751</v>
      </c>
      <c r="L47">
        <f t="shared" si="7"/>
        <v>0.85633043104246109</v>
      </c>
      <c r="M47" s="7">
        <f t="shared" si="8"/>
        <v>0.21918898460957523</v>
      </c>
      <c r="N47" s="7">
        <f t="shared" si="9"/>
        <v>0.87946399807261955</v>
      </c>
      <c r="O47">
        <f t="shared" si="10"/>
        <v>0.1028244212699055</v>
      </c>
      <c r="P47">
        <f t="shared" si="11"/>
        <v>9.3323538199986553E-2</v>
      </c>
      <c r="Q47">
        <f t="shared" si="0"/>
        <v>0.10898075651285492</v>
      </c>
      <c r="R47">
        <f t="shared" si="1"/>
        <v>1.6388108620849222</v>
      </c>
      <c r="S47">
        <f t="shared" si="2"/>
        <v>0.85047070253094637</v>
      </c>
      <c r="T47">
        <v>0.85047070236008082</v>
      </c>
      <c r="U47" s="9">
        <f t="shared" si="18"/>
        <v>1.7086554393586084E-10</v>
      </c>
      <c r="AE47" s="9"/>
    </row>
    <row r="48" spans="1:33" x14ac:dyDescent="0.3">
      <c r="A48">
        <f t="shared" si="13"/>
        <v>0.22000000000000006</v>
      </c>
      <c r="B48">
        <f t="shared" si="3"/>
        <v>0.80717666666666665</v>
      </c>
      <c r="C48">
        <f t="shared" si="14"/>
        <v>3.4750337381916348E-3</v>
      </c>
      <c r="D48">
        <f t="shared" si="4"/>
        <v>0.11962438146648678</v>
      </c>
      <c r="E48">
        <f t="shared" si="15"/>
        <v>0.14820099044796486</v>
      </c>
      <c r="F48">
        <f t="shared" si="5"/>
        <v>1.5369866666666665</v>
      </c>
      <c r="G48">
        <f t="shared" si="16"/>
        <v>1.0353770286605271</v>
      </c>
      <c r="I48">
        <f t="shared" si="17"/>
        <v>0.22000000000000006</v>
      </c>
      <c r="J48">
        <f t="shared" si="6"/>
        <v>0.3253449174273772</v>
      </c>
      <c r="K48" s="7">
        <f t="shared" si="12"/>
        <v>2.5162866916720525</v>
      </c>
      <c r="L48">
        <f t="shared" si="7"/>
        <v>0.87892798959522889</v>
      </c>
      <c r="M48" s="7">
        <f t="shared" si="8"/>
        <v>0.22823402726765685</v>
      </c>
      <c r="N48" s="7">
        <f t="shared" si="9"/>
        <v>0.89964716282769852</v>
      </c>
      <c r="O48">
        <f t="shared" si="10"/>
        <v>0.11783610332184627</v>
      </c>
      <c r="P48">
        <f t="shared" si="11"/>
        <v>9.4464946158082749E-2</v>
      </c>
      <c r="Q48">
        <f t="shared" si="0"/>
        <v>0.10747745808116375</v>
      </c>
      <c r="R48">
        <f t="shared" si="1"/>
        <v>1.6804893125237912</v>
      </c>
      <c r="S48" s="8">
        <f t="shared" si="2"/>
        <v>0.8209759983755428</v>
      </c>
      <c r="T48" s="8">
        <v>0.82097599804024946</v>
      </c>
      <c r="U48" s="9">
        <f t="shared" si="18"/>
        <v>3.3529334864113025E-10</v>
      </c>
      <c r="V48" s="8"/>
      <c r="W48" s="8"/>
      <c r="AC48" s="6"/>
      <c r="AD48" s="6"/>
      <c r="AE48" s="9"/>
      <c r="AF48" s="8"/>
      <c r="AG48" s="8"/>
    </row>
    <row r="49" spans="1:33" x14ac:dyDescent="0.3">
      <c r="A49">
        <f t="shared" si="13"/>
        <v>0.23000000000000007</v>
      </c>
      <c r="B49">
        <f t="shared" si="3"/>
        <v>0.8319927777777778</v>
      </c>
      <c r="C49">
        <f t="shared" si="14"/>
        <v>3.7251461988304117E-3</v>
      </c>
      <c r="D49">
        <f t="shared" si="4"/>
        <v>0.12500432748538015</v>
      </c>
      <c r="E49">
        <f t="shared" si="15"/>
        <v>0.15024689014640502</v>
      </c>
      <c r="F49">
        <f t="shared" si="5"/>
        <v>1.5831022222222222</v>
      </c>
      <c r="G49">
        <f t="shared" si="16"/>
        <v>1.0341573290119643</v>
      </c>
      <c r="I49">
        <f t="shared" si="17"/>
        <v>0.23000000000000007</v>
      </c>
      <c r="J49">
        <f t="shared" si="6"/>
        <v>0.32299175947631587</v>
      </c>
      <c r="K49" s="7">
        <f t="shared" si="12"/>
        <v>2.5150141762569787</v>
      </c>
      <c r="L49">
        <f t="shared" si="7"/>
        <v>0.90144502001542115</v>
      </c>
      <c r="M49" s="7">
        <f t="shared" si="8"/>
        <v>0.23747326929649437</v>
      </c>
      <c r="N49" s="7">
        <f t="shared" si="9"/>
        <v>0.92024039823909032</v>
      </c>
      <c r="O49">
        <f t="shared" si="10"/>
        <v>0.13322498300853355</v>
      </c>
      <c r="P49">
        <f t="shared" si="11"/>
        <v>9.5219365019148433E-2</v>
      </c>
      <c r="Q49">
        <f t="shared" si="0"/>
        <v>0.10562969776850008</v>
      </c>
      <c r="R49">
        <f t="shared" si="1"/>
        <v>1.7220067066975089</v>
      </c>
      <c r="S49" s="8">
        <f t="shared" si="2"/>
        <v>0.79084803471212162</v>
      </c>
      <c r="T49" s="8">
        <v>0.7908480349027357</v>
      </c>
      <c r="U49" s="9">
        <f t="shared" si="18"/>
        <v>-1.9061408007559066E-10</v>
      </c>
      <c r="V49" s="6"/>
      <c r="W49" s="8"/>
      <c r="AC49" s="6"/>
      <c r="AD49" s="6"/>
      <c r="AE49" s="6"/>
      <c r="AF49" s="6"/>
      <c r="AG49" s="6"/>
    </row>
    <row r="50" spans="1:33" x14ac:dyDescent="0.3">
      <c r="A50">
        <f t="shared" si="13"/>
        <v>0.24000000000000007</v>
      </c>
      <c r="B50">
        <f t="shared" si="3"/>
        <v>0.85680888888888895</v>
      </c>
      <c r="C50">
        <f t="shared" si="14"/>
        <v>3.9961013645224202E-3</v>
      </c>
      <c r="D50">
        <f t="shared" si="4"/>
        <v>0.130374269005848</v>
      </c>
      <c r="E50">
        <f t="shared" si="15"/>
        <v>0.15216260089798736</v>
      </c>
      <c r="F50">
        <f t="shared" si="5"/>
        <v>1.6292177777777781</v>
      </c>
      <c r="G50">
        <f t="shared" si="16"/>
        <v>1.0329417270662742</v>
      </c>
      <c r="I50">
        <f t="shared" si="17"/>
        <v>0.24000000000000007</v>
      </c>
      <c r="J50">
        <f t="shared" si="6"/>
        <v>0.32060194264654573</v>
      </c>
      <c r="K50" s="7">
        <f t="shared" si="12"/>
        <v>2.5137218368482643</v>
      </c>
      <c r="L50">
        <f t="shared" si="7"/>
        <v>0.92389518349012933</v>
      </c>
      <c r="M50" s="7">
        <f t="shared" si="8"/>
        <v>0.24685644567225667</v>
      </c>
      <c r="N50" s="7">
        <f t="shared" si="9"/>
        <v>0.94113038069964461</v>
      </c>
      <c r="O50">
        <f t="shared" si="10"/>
        <v>0.14890317055832414</v>
      </c>
      <c r="P50">
        <f t="shared" si="11"/>
        <v>9.5596572399335583E-2</v>
      </c>
      <c r="Q50">
        <f t="shared" si="0"/>
        <v>0.10347123148559732</v>
      </c>
      <c r="R50">
        <f t="shared" si="1"/>
        <v>1.7633903669802589</v>
      </c>
      <c r="S50" s="8">
        <f t="shared" si="2"/>
        <v>0.76025072025536133</v>
      </c>
      <c r="T50" s="8">
        <v>0.76025072063394572</v>
      </c>
      <c r="U50" s="9">
        <f t="shared" si="18"/>
        <v>-3.7858438606264144E-10</v>
      </c>
      <c r="V50" s="6"/>
      <c r="W50" s="8"/>
      <c r="AC50" s="6"/>
      <c r="AD50" s="6"/>
      <c r="AE50" s="6"/>
      <c r="AF50" s="6"/>
      <c r="AG50" s="6"/>
    </row>
    <row r="51" spans="1:33" x14ac:dyDescent="0.3">
      <c r="A51">
        <f t="shared" si="13"/>
        <v>0.25000000000000006</v>
      </c>
      <c r="B51">
        <f t="shared" si="3"/>
        <v>0.8816250000000001</v>
      </c>
      <c r="C51">
        <f t="shared" si="14"/>
        <v>4.2906178489702561E-3</v>
      </c>
      <c r="D51">
        <f t="shared" si="4"/>
        <v>0.13573290109331304</v>
      </c>
      <c r="E51">
        <f t="shared" si="15"/>
        <v>0.15395763628902653</v>
      </c>
      <c r="F51">
        <f t="shared" si="5"/>
        <v>1.6753333333333336</v>
      </c>
      <c r="G51">
        <f t="shared" si="16"/>
        <v>1.0317214399848631</v>
      </c>
      <c r="I51">
        <f t="shared" si="17"/>
        <v>0.25000000000000006</v>
      </c>
      <c r="J51">
        <f t="shared" si="6"/>
        <v>0.31818447040414127</v>
      </c>
      <c r="K51" s="7">
        <f t="shared" si="12"/>
        <v>2.5124145422433335</v>
      </c>
      <c r="L51">
        <f t="shared" si="7"/>
        <v>0.94628810596497481</v>
      </c>
      <c r="M51" s="7">
        <f t="shared" si="8"/>
        <v>0.25634820594083396</v>
      </c>
      <c r="N51" s="7">
        <f t="shared" si="9"/>
        <v>0.96223743088788138</v>
      </c>
      <c r="O51">
        <f t="shared" si="10"/>
        <v>0.16480810848299493</v>
      </c>
      <c r="P51">
        <f t="shared" si="11"/>
        <v>9.5603528434806864E-2</v>
      </c>
      <c r="Q51">
        <f t="shared" si="0"/>
        <v>0.10103004342141172</v>
      </c>
      <c r="R51">
        <f t="shared" si="1"/>
        <v>1.8046595452632832</v>
      </c>
      <c r="S51" s="8">
        <f t="shared" si="2"/>
        <v>0.7292993288752585</v>
      </c>
      <c r="T51" s="8">
        <v>0.72929932845380219</v>
      </c>
      <c r="U51" s="9">
        <f t="shared" si="18"/>
        <v>4.2145631429235664E-10</v>
      </c>
      <c r="V51" s="6"/>
      <c r="W51" s="8"/>
      <c r="AC51" s="6"/>
      <c r="AD51" s="6"/>
      <c r="AE51" s="6"/>
      <c r="AF51" s="6"/>
      <c r="AG51" s="6"/>
    </row>
    <row r="52" spans="1:33" x14ac:dyDescent="0.3">
      <c r="A52">
        <f t="shared" si="13"/>
        <v>0.26000000000000006</v>
      </c>
      <c r="B52">
        <f t="shared" si="3"/>
        <v>0.90644111111111125</v>
      </c>
      <c r="C52">
        <f t="shared" si="14"/>
        <v>4.6119085592769855E-3</v>
      </c>
      <c r="D52">
        <f t="shared" si="4"/>
        <v>0.14107868155236583</v>
      </c>
      <c r="E52">
        <f t="shared" si="15"/>
        <v>0.15564020632231942</v>
      </c>
      <c r="F52">
        <f t="shared" si="5"/>
        <v>1.721448888888889</v>
      </c>
      <c r="G52">
        <f t="shared" si="16"/>
        <v>1.0304871547692083</v>
      </c>
      <c r="I52">
        <f t="shared" si="17"/>
        <v>0.26000000000000006</v>
      </c>
      <c r="J52">
        <f t="shared" si="6"/>
        <v>0.31574576254775533</v>
      </c>
      <c r="K52" s="7">
        <f t="shared" si="12"/>
        <v>2.5110957640717646</v>
      </c>
      <c r="L52">
        <f t="shared" si="7"/>
        <v>0.96863066120641428</v>
      </c>
      <c r="M52" s="7">
        <f t="shared" si="8"/>
        <v>0.26592334394320011</v>
      </c>
      <c r="N52" s="7">
        <f t="shared" si="9"/>
        <v>0.98350474509132402</v>
      </c>
      <c r="O52">
        <f t="shared" si="10"/>
        <v>0.18089455097823626</v>
      </c>
      <c r="P52">
        <f t="shared" si="11"/>
        <v>9.5245194523436383E-2</v>
      </c>
      <c r="Q52">
        <f t="shared" si="0"/>
        <v>9.8329733238890035E-2</v>
      </c>
      <c r="R52">
        <f t="shared" si="1"/>
        <v>1.8458279890794953</v>
      </c>
      <c r="S52" s="8">
        <f t="shared" si="2"/>
        <v>0.69807605296562902</v>
      </c>
      <c r="T52" s="8">
        <v>0.69807605235913006</v>
      </c>
      <c r="U52" s="9">
        <f t="shared" si="18"/>
        <v>6.0649896216347088E-10</v>
      </c>
      <c r="V52" s="6"/>
      <c r="W52" s="8"/>
      <c r="AC52" s="6"/>
      <c r="AD52" s="6"/>
      <c r="AE52" s="6"/>
      <c r="AF52" s="6"/>
      <c r="AG52" s="6"/>
    </row>
    <row r="53" spans="1:33" x14ac:dyDescent="0.3">
      <c r="A53">
        <f t="shared" si="13"/>
        <v>0.27000000000000007</v>
      </c>
      <c r="B53">
        <f t="shared" si="3"/>
        <v>0.9312572222222224</v>
      </c>
      <c r="C53">
        <f t="shared" si="14"/>
        <v>4.9637983848510219E-3</v>
      </c>
      <c r="D53">
        <f t="shared" si="4"/>
        <v>0.14640977443609027</v>
      </c>
      <c r="E53">
        <f t="shared" si="15"/>
        <v>0.15721733044573699</v>
      </c>
      <c r="F53">
        <f t="shared" si="5"/>
        <v>1.7675644444444447</v>
      </c>
      <c r="G53">
        <f t="shared" si="16"/>
        <v>1.0292287531346582</v>
      </c>
      <c r="I53">
        <f t="shared" si="17"/>
        <v>0.27000000000000007</v>
      </c>
      <c r="J53">
        <f t="shared" si="6"/>
        <v>0.31329047230100893</v>
      </c>
      <c r="K53" s="7">
        <f t="shared" si="12"/>
        <v>2.5097680186537166</v>
      </c>
      <c r="L53">
        <f t="shared" si="7"/>
        <v>0.99092783733751255</v>
      </c>
      <c r="M53" s="7">
        <f t="shared" si="8"/>
        <v>0.27556358965237665</v>
      </c>
      <c r="N53" s="7">
        <f t="shared" si="9"/>
        <v>1.00489115671596</v>
      </c>
      <c r="O53">
        <f t="shared" si="10"/>
        <v>0.19712915327183536</v>
      </c>
      <c r="P53">
        <f t="shared" si="11"/>
        <v>9.4525128616604503E-2</v>
      </c>
      <c r="Q53">
        <f t="shared" si="0"/>
        <v>9.5390526993954061E-2</v>
      </c>
      <c r="R53">
        <f t="shared" si="1"/>
        <v>1.886905674675025</v>
      </c>
      <c r="S53" s="8">
        <f t="shared" si="2"/>
        <v>0.66664046924123332</v>
      </c>
      <c r="T53" s="8">
        <v>0.66664046852485881</v>
      </c>
      <c r="U53" s="9">
        <f t="shared" si="18"/>
        <v>7.1637451526385121E-10</v>
      </c>
      <c r="V53" s="6"/>
      <c r="W53" s="8"/>
      <c r="AC53" s="6"/>
      <c r="AD53" s="6"/>
      <c r="AE53" s="6"/>
      <c r="AF53" s="6"/>
      <c r="AG53" s="6"/>
    </row>
    <row r="54" spans="1:33" x14ac:dyDescent="0.3">
      <c r="A54">
        <f t="shared" si="13"/>
        <v>0.28000000000000008</v>
      </c>
      <c r="B54">
        <f t="shared" si="3"/>
        <v>0.95607333333333355</v>
      </c>
      <c r="C54">
        <f t="shared" si="14"/>
        <v>5.3508771929824638E-3</v>
      </c>
      <c r="D54">
        <f t="shared" si="4"/>
        <v>0.15172397660818721</v>
      </c>
      <c r="E54">
        <f t="shared" si="15"/>
        <v>0.15869491525216389</v>
      </c>
      <c r="F54">
        <f t="shared" si="5"/>
        <v>1.8136800000000006</v>
      </c>
      <c r="G54">
        <f t="shared" si="16"/>
        <v>1.0279349781948022</v>
      </c>
      <c r="I54">
        <f t="shared" si="17"/>
        <v>0.28000000000000008</v>
      </c>
      <c r="J54">
        <f t="shared" si="6"/>
        <v>0.3108220302837032</v>
      </c>
      <c r="K54" s="7">
        <f t="shared" si="12"/>
        <v>2.5084331611628192</v>
      </c>
      <c r="L54">
        <f t="shared" si="7"/>
        <v>1.0131833154092929</v>
      </c>
      <c r="M54" s="7">
        <f t="shared" si="8"/>
        <v>0.28525547337048979</v>
      </c>
      <c r="N54" s="7">
        <f t="shared" si="9"/>
        <v>1.0263663190894372</v>
      </c>
      <c r="O54">
        <f t="shared" si="10"/>
        <v>0.21348686283066381</v>
      </c>
      <c r="P54">
        <f t="shared" si="11"/>
        <v>9.3445900629636397E-2</v>
      </c>
      <c r="Q54">
        <f t="shared" si="0"/>
        <v>9.2230003404554006E-2</v>
      </c>
      <c r="R54">
        <f t="shared" si="1"/>
        <v>1.927899964151919</v>
      </c>
      <c r="S54" s="8">
        <f t="shared" si="2"/>
        <v>0.63503650091918207</v>
      </c>
      <c r="T54" s="8">
        <v>0.6350364998788377</v>
      </c>
      <c r="U54" s="9">
        <f t="shared" si="18"/>
        <v>1.0403443662099221E-9</v>
      </c>
      <c r="V54" s="6"/>
      <c r="W54" s="8"/>
      <c r="AC54" s="6"/>
      <c r="AD54" s="6"/>
      <c r="AE54" s="6"/>
      <c r="AF54" s="6"/>
      <c r="AG54" s="6"/>
    </row>
    <row r="55" spans="1:33" x14ac:dyDescent="0.3">
      <c r="A55">
        <f t="shared" si="13"/>
        <v>0.29000000000000009</v>
      </c>
      <c r="B55">
        <f t="shared" si="3"/>
        <v>0.9808894444444447</v>
      </c>
      <c r="C55">
        <f t="shared" si="14"/>
        <v>5.7787011388119513E-3</v>
      </c>
      <c r="D55">
        <f t="shared" si="4"/>
        <v>0.15701862111418904</v>
      </c>
      <c r="E55">
        <f t="shared" si="15"/>
        <v>0.16007779674203867</v>
      </c>
      <c r="F55">
        <f t="shared" si="5"/>
        <v>1.8597955555555561</v>
      </c>
      <c r="G55">
        <f t="shared" si="16"/>
        <v>1.0265930169792039</v>
      </c>
      <c r="I55">
        <f t="shared" si="17"/>
        <v>0.29000000000000009</v>
      </c>
      <c r="J55">
        <f t="shared" si="6"/>
        <v>0.30834300807469917</v>
      </c>
      <c r="K55" s="7">
        <f t="shared" si="12"/>
        <v>2.5070925822297965</v>
      </c>
      <c r="L55">
        <f t="shared" si="7"/>
        <v>1.0353998569213405</v>
      </c>
      <c r="M55" s="7">
        <f t="shared" si="8"/>
        <v>0.29498889826596753</v>
      </c>
      <c r="N55" s="7">
        <f t="shared" si="9"/>
        <v>1.0479074867574463</v>
      </c>
      <c r="O55">
        <f t="shared" si="10"/>
        <v>0.22994849954448526</v>
      </c>
      <c r="P55">
        <f t="shared" si="11"/>
        <v>9.2009379576543759E-2</v>
      </c>
      <c r="Q55">
        <f t="shared" si="0"/>
        <v>8.8863620138141211E-2</v>
      </c>
      <c r="R55">
        <f t="shared" si="1"/>
        <v>1.9688163805093477</v>
      </c>
      <c r="S55" s="8">
        <f t="shared" si="2"/>
        <v>0.603297072273561</v>
      </c>
      <c r="T55" s="8">
        <v>0.60329707087184514</v>
      </c>
      <c r="U55" s="9">
        <f t="shared" si="18"/>
        <v>1.4017158544987751E-9</v>
      </c>
      <c r="V55" s="6"/>
      <c r="W55" s="8"/>
      <c r="AC55" s="6"/>
      <c r="AD55" s="6"/>
      <c r="AE55" s="6"/>
      <c r="AF55" s="6"/>
      <c r="AG55" s="6"/>
    </row>
    <row r="56" spans="1:33" x14ac:dyDescent="0.3">
      <c r="A56">
        <f t="shared" si="13"/>
        <v>0.3000000000000001</v>
      </c>
      <c r="B56">
        <f t="shared" si="3"/>
        <v>1.0057055555555556</v>
      </c>
      <c r="C56">
        <f t="shared" si="14"/>
        <v>6.2540610786224887E-3</v>
      </c>
      <c r="D56">
        <f t="shared" si="4"/>
        <v>0.16229044834307998</v>
      </c>
      <c r="E56">
        <f t="shared" si="15"/>
        <v>0.16136974430197923</v>
      </c>
      <c r="F56">
        <f t="shared" si="5"/>
        <v>1.9059111111111111</v>
      </c>
      <c r="G56">
        <f t="shared" si="16"/>
        <v>1.0251879622076701</v>
      </c>
      <c r="I56">
        <f t="shared" si="17"/>
        <v>0.3000000000000001</v>
      </c>
      <c r="J56">
        <f t="shared" si="6"/>
        <v>0.30585536386366263</v>
      </c>
      <c r="K56" s="7">
        <f t="shared" si="12"/>
        <v>2.5057473407833668</v>
      </c>
      <c r="L56">
        <f t="shared" si="7"/>
        <v>1.0575795660986729</v>
      </c>
      <c r="M56" s="7">
        <f t="shared" si="8"/>
        <v>0.30475617586713183</v>
      </c>
      <c r="N56" s="7">
        <f t="shared" si="9"/>
        <v>1.0694973411300364</v>
      </c>
      <c r="O56">
        <f t="shared" si="10"/>
        <v>0.24649911658926979</v>
      </c>
      <c r="P56">
        <f t="shared" si="11"/>
        <v>9.0216931689885774E-2</v>
      </c>
      <c r="Q56">
        <f t="shared" si="0"/>
        <v>8.5305100988939189E-2</v>
      </c>
      <c r="R56">
        <f t="shared" si="1"/>
        <v>2.0096591321973456</v>
      </c>
      <c r="S56" s="8">
        <f t="shared" si="2"/>
        <v>0.57144725075146141</v>
      </c>
      <c r="T56" s="8">
        <v>0.57144725260717888</v>
      </c>
      <c r="U56" s="9">
        <f t="shared" si="18"/>
        <v>-1.8557174685795985E-9</v>
      </c>
      <c r="V56" s="6"/>
      <c r="W56" s="8"/>
      <c r="AC56" s="6"/>
      <c r="AD56" s="6"/>
      <c r="AE56" s="6"/>
      <c r="AF56" s="6"/>
      <c r="AG56" s="6"/>
    </row>
    <row r="57" spans="1:33" x14ac:dyDescent="0.3">
      <c r="A57">
        <f t="shared" si="13"/>
        <v>0.31000000000000011</v>
      </c>
      <c r="B57">
        <f t="shared" si="3"/>
        <v>1.0305216666666668</v>
      </c>
      <c r="C57">
        <f t="shared" si="14"/>
        <v>6.7853457172342702E-3</v>
      </c>
      <c r="D57">
        <f t="shared" si="4"/>
        <v>0.16753543171654636</v>
      </c>
      <c r="E57" s="8">
        <f t="shared" ref="E57:E74" si="19">D57/B57</f>
        <v>0.16257341998296623</v>
      </c>
      <c r="F57" s="8">
        <f t="shared" si="5"/>
        <v>1.9520266666666668</v>
      </c>
      <c r="G57" s="8">
        <f t="shared" ref="G57:G74" si="20">F57*E57/A57</f>
        <v>1.0237021003159663</v>
      </c>
      <c r="I57">
        <f t="shared" si="17"/>
        <v>0.31000000000000011</v>
      </c>
      <c r="J57">
        <f t="shared" si="6"/>
        <v>0.30336061072625042</v>
      </c>
      <c r="K57" s="7">
        <f t="shared" si="12"/>
        <v>2.5043982550482893</v>
      </c>
      <c r="L57">
        <f t="shared" si="7"/>
        <v>1.0797240697912205</v>
      </c>
      <c r="M57" s="7">
        <f t="shared" si="8"/>
        <v>0.31455136536061939</v>
      </c>
      <c r="N57" s="7">
        <f t="shared" si="9"/>
        <v>1.0911225012584427</v>
      </c>
      <c r="O57">
        <f t="shared" si="10"/>
        <v>0.26312686406217611</v>
      </c>
      <c r="P57">
        <f t="shared" si="11"/>
        <v>8.8069561029614343E-2</v>
      </c>
      <c r="Q57">
        <f t="shared" si="0"/>
        <v>8.1566729402118274E-2</v>
      </c>
      <c r="R57">
        <f t="shared" si="1"/>
        <v>2.0504314729157742</v>
      </c>
      <c r="S57" s="8">
        <f t="shared" si="2"/>
        <v>0.53950641648034736</v>
      </c>
      <c r="T57" s="8">
        <v>0.53950641730232785</v>
      </c>
      <c r="U57" s="9">
        <f t="shared" si="18"/>
        <v>-8.2198048367843057E-10</v>
      </c>
      <c r="V57" s="6"/>
      <c r="W57" s="8"/>
      <c r="AC57" s="6"/>
      <c r="AD57" s="6"/>
      <c r="AE57" s="6"/>
      <c r="AF57" s="6"/>
      <c r="AG57" s="6"/>
    </row>
    <row r="58" spans="1:33" x14ac:dyDescent="0.3">
      <c r="A58">
        <f t="shared" si="13"/>
        <v>0.32000000000000012</v>
      </c>
      <c r="B58">
        <f t="shared" si="3"/>
        <v>1.0553377777777779</v>
      </c>
      <c r="C58">
        <f t="shared" si="14"/>
        <v>7.3830409356725251E-3</v>
      </c>
      <c r="D58">
        <f t="shared" si="4"/>
        <v>0.17274853801169598</v>
      </c>
      <c r="E58" s="8">
        <f t="shared" si="19"/>
        <v>0.16369028158496529</v>
      </c>
      <c r="F58" s="8">
        <f t="shared" si="5"/>
        <v>1.9981422222222225</v>
      </c>
      <c r="G58" s="8">
        <f t="shared" si="20"/>
        <v>1.0221139468823868</v>
      </c>
      <c r="I58">
        <f t="shared" si="17"/>
        <v>0.32000000000000012</v>
      </c>
      <c r="J58">
        <f t="shared" si="6"/>
        <v>0.3008599337827394</v>
      </c>
      <c r="K58" s="7">
        <f t="shared" si="12"/>
        <v>2.5030459659011441</v>
      </c>
      <c r="L58">
        <f t="shared" si="7"/>
        <v>1.1018346428711059</v>
      </c>
      <c r="M58" s="7">
        <f t="shared" si="8"/>
        <v>0.32436981358956696</v>
      </c>
      <c r="N58" s="7">
        <f t="shared" si="9"/>
        <v>1.1127724871482112</v>
      </c>
      <c r="O58">
        <f t="shared" si="10"/>
        <v>0.27982221251398548</v>
      </c>
      <c r="P58">
        <f t="shared" si="11"/>
        <v>8.5568003106635801E-2</v>
      </c>
      <c r="Q58">
        <f t="shared" si="0"/>
        <v>7.7659568666008677E-2</v>
      </c>
      <c r="R58">
        <f t="shared" si="1"/>
        <v>2.0911359524088784</v>
      </c>
      <c r="S58" s="8">
        <f t="shared" si="2"/>
        <v>0.50748973776892714</v>
      </c>
      <c r="T58" s="8">
        <v>0.5074897382948903</v>
      </c>
      <c r="U58" s="9">
        <f t="shared" si="18"/>
        <v>-5.259631619125571E-10</v>
      </c>
      <c r="V58" s="6"/>
      <c r="W58" s="8"/>
      <c r="AC58" s="6"/>
      <c r="AD58" s="6"/>
      <c r="AE58" s="6"/>
      <c r="AF58" s="6"/>
      <c r="AG58" s="6"/>
    </row>
    <row r="59" spans="1:33" x14ac:dyDescent="0.3">
      <c r="A59">
        <f t="shared" si="13"/>
        <v>0.33000000000000013</v>
      </c>
      <c r="B59">
        <f t="shared" si="3"/>
        <v>1.0801538888888891</v>
      </c>
      <c r="C59">
        <f t="shared" si="14"/>
        <v>8.0604288499025473E-3</v>
      </c>
      <c r="D59">
        <f t="shared" si="4"/>
        <v>0.17792339181286557</v>
      </c>
      <c r="E59" s="8">
        <f t="shared" si="19"/>
        <v>0.16472041034438917</v>
      </c>
      <c r="F59" s="8">
        <f t="shared" si="5"/>
        <v>2.0442577777777782</v>
      </c>
      <c r="G59" s="8">
        <f t="shared" si="20"/>
        <v>1.0203969091068625</v>
      </c>
      <c r="I59">
        <f t="shared" si="17"/>
        <v>0.33000000000000013</v>
      </c>
      <c r="J59">
        <f t="shared" si="6"/>
        <v>0.29835427287349364</v>
      </c>
      <c r="K59" s="7">
        <f t="shared" si="12"/>
        <v>2.5016909815786832</v>
      </c>
      <c r="L59">
        <f t="shared" si="7"/>
        <v>1.1239122967944595</v>
      </c>
      <c r="M59" s="7">
        <f t="shared" si="8"/>
        <v>0.33420783044358943</v>
      </c>
      <c r="N59" s="7">
        <f t="shared" si="9"/>
        <v>1.134438988267199</v>
      </c>
      <c r="O59">
        <f t="shared" si="10"/>
        <v>0.29657738238948633</v>
      </c>
      <c r="P59">
        <f t="shared" si="11"/>
        <v>8.2712797144802896E-2</v>
      </c>
      <c r="Q59">
        <f t="shared" si="0"/>
        <v>7.3593640162769189E-2</v>
      </c>
      <c r="R59">
        <f t="shared" si="1"/>
        <v>2.131774593588919</v>
      </c>
      <c r="S59" s="8">
        <f t="shared" si="2"/>
        <v>0.47540924954156477</v>
      </c>
      <c r="T59" s="8">
        <v>0.47540924855351274</v>
      </c>
      <c r="U59" s="9">
        <f t="shared" si="18"/>
        <v>9.8805202908280876E-10</v>
      </c>
      <c r="V59" s="6"/>
      <c r="W59" s="8"/>
      <c r="AC59" s="6"/>
      <c r="AD59" s="6"/>
      <c r="AE59" s="6"/>
      <c r="AF59" s="6"/>
      <c r="AG59" s="6"/>
    </row>
    <row r="60" spans="1:33" x14ac:dyDescent="0.3">
      <c r="A60">
        <f t="shared" si="13"/>
        <v>0.34000000000000014</v>
      </c>
      <c r="B60">
        <f t="shared" si="3"/>
        <v>1.1049700000000002</v>
      </c>
      <c r="C60">
        <f t="shared" si="14"/>
        <v>8.8345864661654293E-3</v>
      </c>
      <c r="D60">
        <f t="shared" si="4"/>
        <v>0.18305179615705941</v>
      </c>
      <c r="E60" s="8">
        <f t="shared" si="19"/>
        <v>0.16566223169593688</v>
      </c>
      <c r="F60" s="8">
        <f t="shared" si="5"/>
        <v>2.0903733333333339</v>
      </c>
      <c r="G60" s="8">
        <f t="shared" si="20"/>
        <v>1.0185173866990427</v>
      </c>
      <c r="I60">
        <f t="shared" si="17"/>
        <v>0.34000000000000014</v>
      </c>
      <c r="J60">
        <f t="shared" si="6"/>
        <v>0.29584438192137025</v>
      </c>
      <c r="K60" s="7">
        <f t="shared" si="12"/>
        <v>2.5003337097791887</v>
      </c>
      <c r="L60">
        <f t="shared" si="7"/>
        <v>1.1459578432462947</v>
      </c>
      <c r="M60" s="7">
        <f t="shared" si="8"/>
        <v>0.34406245578320954</v>
      </c>
      <c r="N60" s="7">
        <f t="shared" si="9"/>
        <v>1.1561153383855407</v>
      </c>
      <c r="O60">
        <f t="shared" si="10"/>
        <v>0.31338594679121196</v>
      </c>
      <c r="P60">
        <f t="shared" si="11"/>
        <v>7.9504333646543537E-2</v>
      </c>
      <c r="Q60">
        <f t="shared" si="0"/>
        <v>6.9378061431406499E-2</v>
      </c>
      <c r="R60">
        <f t="shared" si="1"/>
        <v>2.1723490198259228</v>
      </c>
      <c r="S60" s="8">
        <f t="shared" si="2"/>
        <v>0.44327459925864265</v>
      </c>
      <c r="T60" s="8">
        <v>0.44327460070692548</v>
      </c>
      <c r="U60" s="9">
        <f t="shared" si="18"/>
        <v>-1.4482828269990478E-9</v>
      </c>
      <c r="V60" s="6"/>
      <c r="W60" s="8"/>
      <c r="AC60" s="6"/>
      <c r="AD60" s="6"/>
      <c r="AE60" s="6"/>
      <c r="AF60" s="6"/>
      <c r="AG60" s="6"/>
    </row>
    <row r="61" spans="1:33" x14ac:dyDescent="0.3">
      <c r="A61">
        <f t="shared" si="13"/>
        <v>0.35000000000000014</v>
      </c>
      <c r="B61">
        <f t="shared" si="3"/>
        <v>1.1297861111111114</v>
      </c>
      <c r="C61">
        <f t="shared" si="14"/>
        <v>9.7278452541610643E-3</v>
      </c>
      <c r="D61">
        <f t="shared" si="4"/>
        <v>0.18812303193882152</v>
      </c>
      <c r="E61" s="8">
        <f t="shared" si="19"/>
        <v>0.16651207701058393</v>
      </c>
      <c r="F61" s="8">
        <f t="shared" si="5"/>
        <v>2.1364888888888891</v>
      </c>
      <c r="G61" s="8">
        <f t="shared" si="20"/>
        <v>1.0164320068540671</v>
      </c>
      <c r="I61">
        <f t="shared" si="17"/>
        <v>0.35000000000000014</v>
      </c>
      <c r="J61">
        <f t="shared" si="6"/>
        <v>0.2933308720668098</v>
      </c>
      <c r="K61" s="7">
        <f t="shared" si="12"/>
        <v>2.4989744809886072</v>
      </c>
      <c r="L61">
        <f t="shared" si="7"/>
        <v>1.1679719404128226</v>
      </c>
      <c r="M61" s="7">
        <f t="shared" si="8"/>
        <v>0.35393129007785495</v>
      </c>
      <c r="N61" s="7">
        <f t="shared" si="9"/>
        <v>1.1777961339947456</v>
      </c>
      <c r="O61">
        <f t="shared" si="10"/>
        <v>0.33024252566811346</v>
      </c>
      <c r="P61">
        <f t="shared" si="11"/>
        <v>7.5942893793938121E-2</v>
      </c>
      <c r="Q61">
        <f t="shared" si="0"/>
        <v>6.5021162894629059E-2</v>
      </c>
      <c r="R61">
        <f t="shared" si="1"/>
        <v>2.2128605474923115</v>
      </c>
      <c r="S61" s="8">
        <f t="shared" si="2"/>
        <v>0.41109361749027301</v>
      </c>
      <c r="T61" s="8">
        <v>0.41109361931134247</v>
      </c>
      <c r="U61" s="9">
        <f t="shared" si="18"/>
        <v>-1.8210694618936429E-9</v>
      </c>
      <c r="V61" s="6"/>
      <c r="W61" s="8"/>
      <c r="AC61" s="6"/>
      <c r="AD61" s="6"/>
      <c r="AE61" s="6"/>
      <c r="AF61" s="6"/>
      <c r="AG61" s="6"/>
    </row>
    <row r="62" spans="1:33" x14ac:dyDescent="0.3">
      <c r="A62">
        <f t="shared" si="13"/>
        <v>0.36000000000000015</v>
      </c>
      <c r="B62">
        <f t="shared" ref="B62:B75" si="21">(A62*F$3+F$5)</f>
        <v>1.1546022222222225</v>
      </c>
      <c r="C62">
        <f t="shared" ref="C62:C74" si="22">$F$7*B62/($D$14-B62)</f>
        <v>1.0769980506822638E-2</v>
      </c>
      <c r="D62">
        <f t="shared" ref="D62:D74" si="23">-A62*(C62-B$20)</f>
        <v>0.19312280701754395</v>
      </c>
      <c r="E62">
        <f t="shared" si="19"/>
        <v>0.16726349845910329</v>
      </c>
      <c r="F62">
        <f t="shared" ref="F62:F74" si="24">(B$12*A62-D$12*B62)/(-C$12)</f>
        <v>2.1826044444444448</v>
      </c>
      <c r="G62">
        <f t="shared" si="20"/>
        <v>1.0140834864726811</v>
      </c>
      <c r="I62">
        <f t="shared" si="17"/>
        <v>0.36000000000000015</v>
      </c>
      <c r="J62">
        <f t="shared" si="6"/>
        <v>0.29081424354301916</v>
      </c>
      <c r="K62" s="7">
        <f t="shared" si="12"/>
        <v>2.4976135657176655</v>
      </c>
      <c r="L62">
        <f t="shared" si="7"/>
        <v>1.1899551272013791</v>
      </c>
      <c r="M62" s="7">
        <f t="shared" si="8"/>
        <v>0.36381236925381555</v>
      </c>
      <c r="N62" s="7">
        <f t="shared" si="9"/>
        <v>1.1994769523672333</v>
      </c>
      <c r="O62">
        <f t="shared" si="10"/>
        <v>0.34714257522246456</v>
      </c>
      <c r="P62">
        <f t="shared" si="11"/>
        <v>7.2028672919912815E-2</v>
      </c>
      <c r="Q62">
        <f t="shared" si="0"/>
        <v>6.053057907260332E-2</v>
      </c>
      <c r="R62">
        <f t="shared" si="1"/>
        <v>2.2533102544027579</v>
      </c>
      <c r="S62" s="8">
        <f t="shared" si="2"/>
        <v>0.37887270702564996</v>
      </c>
      <c r="T62" s="8">
        <v>0.37887270895494934</v>
      </c>
      <c r="U62" s="9">
        <f t="shared" si="18"/>
        <v>-1.9292993869157726E-9</v>
      </c>
      <c r="V62" s="6"/>
      <c r="W62" s="8"/>
      <c r="AC62" s="6"/>
      <c r="AD62" s="6"/>
      <c r="AE62" s="9"/>
      <c r="AF62" s="6"/>
      <c r="AG62" s="6"/>
    </row>
    <row r="63" spans="1:33" x14ac:dyDescent="0.3">
      <c r="A63">
        <f t="shared" si="13"/>
        <v>0.37000000000000016</v>
      </c>
      <c r="B63">
        <f t="shared" si="21"/>
        <v>1.1794183333333337</v>
      </c>
      <c r="C63">
        <f t="shared" si="22"/>
        <v>1.2001594896331772E-2</v>
      </c>
      <c r="D63">
        <f t="shared" si="23"/>
        <v>0.19803163211057956</v>
      </c>
      <c r="E63">
        <f t="shared" si="19"/>
        <v>0.16790618435690433</v>
      </c>
      <c r="F63">
        <f t="shared" si="24"/>
        <v>2.2287200000000009</v>
      </c>
      <c r="G63">
        <f t="shared" si="20"/>
        <v>1.0113942464862697</v>
      </c>
      <c r="I63">
        <f t="shared" si="17"/>
        <v>0.37000000000000016</v>
      </c>
      <c r="J63">
        <f t="shared" si="6"/>
        <v>0.28829490944499703</v>
      </c>
      <c r="K63" s="7">
        <f t="shared" si="12"/>
        <v>2.4962511873554267</v>
      </c>
      <c r="L63">
        <f t="shared" si="7"/>
        <v>1.2119078487665054</v>
      </c>
      <c r="M63" s="7">
        <f t="shared" si="8"/>
        <v>0.3737040713695326</v>
      </c>
      <c r="N63" s="7">
        <f t="shared" si="9"/>
        <v>1.2211541413207501</v>
      </c>
      <c r="O63">
        <f t="shared" si="10"/>
        <v>0.3640822168743344</v>
      </c>
      <c r="P63">
        <f t="shared" si="11"/>
        <v>6.7761801978718547E-2</v>
      </c>
      <c r="Q63">
        <f t="shared" si="0"/>
        <v>5.5913328763145927E-2</v>
      </c>
      <c r="R63">
        <f t="shared" si="1"/>
        <v>2.2936990308663443</v>
      </c>
      <c r="S63" s="8">
        <f t="shared" si="2"/>
        <v>0.34661715674740284</v>
      </c>
      <c r="T63" s="8">
        <v>0.34661715857761116</v>
      </c>
      <c r="U63" s="9">
        <f t="shared" si="18"/>
        <v>-1.8302083182319961E-9</v>
      </c>
      <c r="V63" s="6"/>
      <c r="W63" s="8"/>
      <c r="AC63" s="6"/>
      <c r="AD63" s="6"/>
      <c r="AE63" s="6"/>
      <c r="AF63" s="6"/>
      <c r="AG63" s="6"/>
    </row>
    <row r="64" spans="1:33" x14ac:dyDescent="0.3">
      <c r="A64">
        <f t="shared" si="13"/>
        <v>0.38000000000000017</v>
      </c>
      <c r="B64">
        <f t="shared" si="21"/>
        <v>1.2042344444444448</v>
      </c>
      <c r="C64">
        <f t="shared" si="22"/>
        <v>1.3479532163742735E-2</v>
      </c>
      <c r="D64">
        <f t="shared" si="23"/>
        <v>0.20282222222222232</v>
      </c>
      <c r="E64">
        <f t="shared" si="19"/>
        <v>0.168424199422224</v>
      </c>
      <c r="F64">
        <f t="shared" si="24"/>
        <v>2.2748355555555562</v>
      </c>
      <c r="G64">
        <f t="shared" si="20"/>
        <v>1.0082562033201434</v>
      </c>
      <c r="I64">
        <f t="shared" si="17"/>
        <v>0.38000000000000017</v>
      </c>
      <c r="J64" s="8">
        <f t="shared" si="6"/>
        <v>0.28577321371683367</v>
      </c>
      <c r="K64" s="42">
        <f t="shared" si="12"/>
        <v>2.494887531896274</v>
      </c>
      <c r="L64" s="8">
        <f t="shared" si="7"/>
        <v>1.2338304758374181</v>
      </c>
      <c r="M64" s="42">
        <f t="shared" si="8"/>
        <v>0.38360504599177492</v>
      </c>
      <c r="N64" s="42">
        <f t="shared" si="9"/>
        <v>1.2428246601342097</v>
      </c>
      <c r="O64" s="8">
        <f t="shared" si="10"/>
        <v>0.38105811091160369</v>
      </c>
      <c r="P64" s="8">
        <f t="shared" si="11"/>
        <v>6.314236229803509E-2</v>
      </c>
      <c r="Q64" s="8">
        <f t="shared" si="0"/>
        <v>5.1175881561184071E-2</v>
      </c>
      <c r="R64" s="8">
        <f t="shared" si="1"/>
        <v>2.3340276183415027</v>
      </c>
      <c r="S64" s="8">
        <f t="shared" si="2"/>
        <v>0.31433137093888741</v>
      </c>
      <c r="T64" s="8">
        <v>0.31433137176595127</v>
      </c>
      <c r="U64" s="9">
        <f t="shared" si="18"/>
        <v>-8.2706386184128178E-10</v>
      </c>
      <c r="V64" s="6"/>
      <c r="W64" s="8"/>
      <c r="AC64" s="6"/>
      <c r="AD64" s="6"/>
      <c r="AE64" s="6"/>
      <c r="AF64" s="6"/>
      <c r="AG64" s="6"/>
    </row>
    <row r="65" spans="1:33" x14ac:dyDescent="0.3">
      <c r="A65">
        <f t="shared" si="13"/>
        <v>0.39000000000000018</v>
      </c>
      <c r="B65">
        <f t="shared" si="21"/>
        <v>1.229050555555556</v>
      </c>
      <c r="C65">
        <f t="shared" si="22"/>
        <v>1.5285899935022799E-2</v>
      </c>
      <c r="D65">
        <f t="shared" si="23"/>
        <v>0.20745516569200789</v>
      </c>
      <c r="E65">
        <f t="shared" si="19"/>
        <v>0.1687930286954176</v>
      </c>
      <c r="F65">
        <f t="shared" si="24"/>
        <v>2.3209511111111119</v>
      </c>
      <c r="G65">
        <f t="shared" si="20"/>
        <v>1.0045137628165104</v>
      </c>
      <c r="I65">
        <f t="shared" si="17"/>
        <v>0.39000000000000018</v>
      </c>
      <c r="J65" s="8">
        <f t="shared" si="6"/>
        <v>0.28324944490624648</v>
      </c>
      <c r="K65" s="42">
        <f t="shared" si="12"/>
        <v>2.4935227553779336</v>
      </c>
      <c r="L65" s="8">
        <f t="shared" si="7"/>
        <v>1.255723319503641</v>
      </c>
      <c r="M65" s="42">
        <f t="shared" si="8"/>
        <v>0.3935141601909854</v>
      </c>
      <c r="N65" s="42">
        <f t="shared" si="9"/>
        <v>1.2644859579059058</v>
      </c>
      <c r="O65" s="8">
        <f t="shared" si="10"/>
        <v>0.39806735960404688</v>
      </c>
      <c r="P65" s="8">
        <f t="shared" si="11"/>
        <v>5.8170396421088434E-2</v>
      </c>
      <c r="Q65" s="8">
        <f t="shared" si="0"/>
        <v>4.6324214512542358E-2</v>
      </c>
      <c r="R65" s="8">
        <f t="shared" si="1"/>
        <v>2.3742966390072819</v>
      </c>
      <c r="S65" s="8">
        <f t="shared" si="2"/>
        <v>0.28201904313277337</v>
      </c>
      <c r="T65" s="8">
        <v>0.28201904285548235</v>
      </c>
      <c r="U65" s="9">
        <f t="shared" si="18"/>
        <v>2.7729102347606727E-10</v>
      </c>
      <c r="V65" s="6"/>
      <c r="W65" s="8"/>
      <c r="AC65" s="6"/>
      <c r="AD65" s="6"/>
      <c r="AE65" s="6"/>
      <c r="AF65" s="6"/>
      <c r="AG65" s="6"/>
    </row>
    <row r="66" spans="1:33" x14ac:dyDescent="0.3">
      <c r="A66">
        <f t="shared" si="13"/>
        <v>0.40000000000000019</v>
      </c>
      <c r="B66">
        <f t="shared" si="21"/>
        <v>1.2538666666666671</v>
      </c>
      <c r="C66">
        <f t="shared" si="22"/>
        <v>1.7543859649122882E-2</v>
      </c>
      <c r="D66">
        <f t="shared" si="23"/>
        <v>0.21187134502923988</v>
      </c>
      <c r="E66">
        <f t="shared" si="19"/>
        <v>0.16897438193527206</v>
      </c>
      <c r="F66">
        <f t="shared" si="24"/>
        <v>2.3670666666666675</v>
      </c>
      <c r="G66">
        <f t="shared" si="20"/>
        <v>0.99993406749896152</v>
      </c>
      <c r="I66">
        <f t="shared" si="17"/>
        <v>0.40000000000000019</v>
      </c>
      <c r="J66" s="8">
        <f t="shared" si="6"/>
        <v>0.28072384678812895</v>
      </c>
      <c r="K66" s="42">
        <f t="shared" si="12"/>
        <v>2.4921569896263667</v>
      </c>
      <c r="L66" s="8">
        <f t="shared" si="7"/>
        <v>1.2775866426386762</v>
      </c>
      <c r="M66" s="42">
        <f t="shared" si="8"/>
        <v>0.40343045682986584</v>
      </c>
      <c r="N66" s="42">
        <f t="shared" si="9"/>
        <v>1.2861358796048372</v>
      </c>
      <c r="O66" s="8">
        <f t="shared" si="10"/>
        <v>0.41510742995594752</v>
      </c>
      <c r="P66" s="8">
        <f t="shared" si="11"/>
        <v>5.2845916906509929E-2</v>
      </c>
      <c r="Q66" s="8">
        <f t="shared" si="0"/>
        <v>4.1363861473507658E-2</v>
      </c>
      <c r="R66" s="8">
        <f t="shared" si="1"/>
        <v>2.4145066186106856</v>
      </c>
      <c r="S66" s="8">
        <f t="shared" si="2"/>
        <v>0.24968329324769936</v>
      </c>
      <c r="T66" s="8">
        <v>0.24968329294608974</v>
      </c>
      <c r="U66" s="9">
        <f t="shared" ref="U66:U67" si="25">S66-T66</f>
        <v>3.0160962616321285E-10</v>
      </c>
      <c r="V66" s="6"/>
      <c r="W66" s="8"/>
      <c r="AC66" s="6"/>
      <c r="AD66" s="6"/>
      <c r="AE66" s="6"/>
      <c r="AF66" s="6"/>
      <c r="AG66" s="6"/>
    </row>
    <row r="67" spans="1:33" x14ac:dyDescent="0.3">
      <c r="A67">
        <f t="shared" si="13"/>
        <v>0.4100000000000002</v>
      </c>
      <c r="B67">
        <f t="shared" si="21"/>
        <v>1.2786827777777783</v>
      </c>
      <c r="C67">
        <f t="shared" si="22"/>
        <v>2.0446950710108713E-2</v>
      </c>
      <c r="D67">
        <f t="shared" si="23"/>
        <v>0.21597786131996666</v>
      </c>
      <c r="E67">
        <f t="shared" si="19"/>
        <v>0.16890652245689458</v>
      </c>
      <c r="F67">
        <f t="shared" si="24"/>
        <v>2.4131822222222232</v>
      </c>
      <c r="G67">
        <f t="shared" si="20"/>
        <v>0.99415174929355254</v>
      </c>
      <c r="I67">
        <f t="shared" si="17"/>
        <v>0.4100000000000002</v>
      </c>
      <c r="J67" s="8">
        <f t="shared" si="6"/>
        <v>0.27819662665484057</v>
      </c>
      <c r="K67" s="42">
        <f t="shared" si="12"/>
        <v>2.4907903467389039</v>
      </c>
      <c r="L67" s="8">
        <f t="shared" si="7"/>
        <v>1.2994206688177916</v>
      </c>
      <c r="M67" s="42">
        <f t="shared" si="8"/>
        <v>0.413353122013081</v>
      </c>
      <c r="N67" s="42">
        <f t="shared" si="9"/>
        <v>1.307772592759411</v>
      </c>
      <c r="O67" s="8">
        <f t="shared" si="10"/>
        <v>0.43217609296467596</v>
      </c>
      <c r="P67" s="8">
        <f t="shared" si="11"/>
        <v>4.716891299559401E-2</v>
      </c>
      <c r="Q67" s="8">
        <f t="shared" si="0"/>
        <v>3.6299955916899586E-2</v>
      </c>
      <c r="R67" s="8">
        <f t="shared" si="1"/>
        <v>2.4546580043022499</v>
      </c>
      <c r="S67" s="8">
        <f t="shared" si="2"/>
        <v>0.2173267740176496</v>
      </c>
      <c r="T67" s="8">
        <v>0.2173267760443012</v>
      </c>
      <c r="U67" s="9">
        <f t="shared" si="25"/>
        <v>-2.0266515965428056E-9</v>
      </c>
      <c r="V67" s="6"/>
      <c r="W67" s="8"/>
      <c r="AC67" s="6"/>
      <c r="AD67" s="6"/>
      <c r="AE67" s="6"/>
      <c r="AF67" s="6"/>
      <c r="AG67" s="6"/>
    </row>
    <row r="68" spans="1:33" x14ac:dyDescent="0.3">
      <c r="A68">
        <f t="shared" si="13"/>
        <v>0.42000000000000021</v>
      </c>
      <c r="B68">
        <f t="shared" si="21"/>
        <v>1.3034988888888894</v>
      </c>
      <c r="C68">
        <f t="shared" si="22"/>
        <v>2.4317738791423155E-2</v>
      </c>
      <c r="D68">
        <f t="shared" si="23"/>
        <v>0.21961988304093572</v>
      </c>
      <c r="E68">
        <f t="shared" si="19"/>
        <v>0.16848490237543745</v>
      </c>
      <c r="F68">
        <f t="shared" si="24"/>
        <v>2.4592977777777789</v>
      </c>
      <c r="G68">
        <f t="shared" si="20"/>
        <v>0.9865584428595694</v>
      </c>
      <c r="I68">
        <f t="shared" si="17"/>
        <v>0.42000000000000021</v>
      </c>
      <c r="J68" s="8">
        <f t="shared" ref="J68:J74" si="26">$F$5*(1+$F$6*T68)</f>
        <v>0.27566796183740128</v>
      </c>
      <c r="K68" s="42">
        <f t="shared" ref="K68:K74" si="27">$F$3*(1+$F$4*T68)</f>
        <v>2.4894229226107041</v>
      </c>
      <c r="L68" s="8">
        <f t="shared" ref="L68:L74" si="28">I68*K68+J68</f>
        <v>1.3212255893338973</v>
      </c>
      <c r="M68" s="42">
        <f t="shared" ref="M68:M74" si="29">$B$14*(1-T68/$F$8)</f>
        <v>0.42328145948298634</v>
      </c>
      <c r="N68" s="42">
        <f t="shared" ref="N68:N74" si="30">M68*K68+J68</f>
        <v>1.3293945297904615</v>
      </c>
      <c r="O68" s="8">
        <f t="shared" ref="O68:O74" si="31">-$F$7*(I68+J68/K68)/(I68+J68/K68-N68/K68)</f>
        <v>0.44927137136054301</v>
      </c>
      <c r="P68" s="8">
        <f t="shared" ref="P68:P74" si="32">I68*($B$20-O68)</f>
        <v>4.1139357361905313E-2</v>
      </c>
      <c r="Q68" s="8">
        <f t="shared" ref="Q68:Q74" si="33">P68/L68</f>
        <v>3.1137269588190408E-2</v>
      </c>
      <c r="R68" s="8">
        <f t="shared" ref="R68:R74" si="34">($B$12*I68-$D$12*L68)/(-$C$12)</f>
        <v>2.4947511786677947</v>
      </c>
      <c r="S68" s="8">
        <f t="shared" ref="S68:S74" si="35">R68*Q68/I68</f>
        <v>0.18495176191817825</v>
      </c>
      <c r="T68" s="8">
        <v>0.18495176255547932</v>
      </c>
      <c r="U68" s="9">
        <f t="shared" ref="U68:U74" si="36">S68-T68</f>
        <v>-6.3730107302539807E-10</v>
      </c>
      <c r="V68" s="3"/>
      <c r="W68" s="3"/>
      <c r="AC68" s="6"/>
      <c r="AD68" s="6"/>
      <c r="AE68" s="6"/>
      <c r="AF68" s="6"/>
      <c r="AG68" s="6"/>
    </row>
    <row r="69" spans="1:33" x14ac:dyDescent="0.3">
      <c r="A69">
        <f t="shared" si="13"/>
        <v>0.43000000000000022</v>
      </c>
      <c r="B69">
        <f t="shared" si="21"/>
        <v>1.3283150000000006</v>
      </c>
      <c r="C69">
        <f t="shared" si="22"/>
        <v>2.9736842105263391E-2</v>
      </c>
      <c r="D69">
        <f t="shared" si="23"/>
        <v>0.22251871345029242</v>
      </c>
      <c r="E69">
        <f t="shared" si="19"/>
        <v>0.16751953674414</v>
      </c>
      <c r="F69">
        <f t="shared" si="24"/>
        <v>2.5054133333333342</v>
      </c>
      <c r="G69">
        <f t="shared" si="20"/>
        <v>0.97605972314556178</v>
      </c>
      <c r="I69">
        <f t="shared" si="17"/>
        <v>0.43000000000000022</v>
      </c>
      <c r="J69" s="8">
        <f t="shared" si="26"/>
        <v>0.27313800490526563</v>
      </c>
      <c r="K69" s="42">
        <f t="shared" si="27"/>
        <v>2.4880547997466338</v>
      </c>
      <c r="L69" s="8">
        <f t="shared" si="28"/>
        <v>1.3430015687963186</v>
      </c>
      <c r="M69" s="42">
        <f t="shared" si="29"/>
        <v>0.43321487020367083</v>
      </c>
      <c r="N69" s="42">
        <f t="shared" si="30"/>
        <v>1.3510003420371237</v>
      </c>
      <c r="O69" s="8">
        <f t="shared" si="31"/>
        <v>0.46639150792424983</v>
      </c>
      <c r="P69" s="8">
        <f t="shared" si="32"/>
        <v>3.4757207148128168E-2</v>
      </c>
      <c r="Q69" s="8">
        <f t="shared" si="33"/>
        <v>2.5880243147653012E-2</v>
      </c>
      <c r="R69" s="8">
        <f t="shared" si="34"/>
        <v>2.5347864709259702</v>
      </c>
      <c r="S69" s="8">
        <f t="shared" si="35"/>
        <v>0.1525602097556869</v>
      </c>
      <c r="T69" s="8">
        <v>0.15256020585759511</v>
      </c>
      <c r="U69" s="9">
        <f t="shared" si="36"/>
        <v>3.898091793796965E-9</v>
      </c>
      <c r="V69" s="6"/>
      <c r="W69" s="6"/>
      <c r="AC69" s="6"/>
      <c r="AD69" s="6"/>
      <c r="AE69" s="6"/>
      <c r="AF69" s="6"/>
      <c r="AG69" s="6"/>
    </row>
    <row r="70" spans="1:33" x14ac:dyDescent="0.3">
      <c r="A70">
        <f t="shared" si="13"/>
        <v>0.44000000000000022</v>
      </c>
      <c r="B70">
        <f t="shared" si="21"/>
        <v>1.3531311111111117</v>
      </c>
      <c r="C70">
        <f t="shared" si="22"/>
        <v>3.7865497076023776E-2</v>
      </c>
      <c r="D70">
        <f t="shared" si="23"/>
        <v>0.22411695906432744</v>
      </c>
      <c r="E70">
        <f t="shared" si="19"/>
        <v>0.16562841340651444</v>
      </c>
      <c r="F70">
        <f t="shared" si="24"/>
        <v>2.5515288888888903</v>
      </c>
      <c r="G70">
        <f t="shared" si="20"/>
        <v>0.96046745824443946</v>
      </c>
      <c r="I70">
        <f t="shared" si="17"/>
        <v>0.44000000000000022</v>
      </c>
      <c r="J70" s="8">
        <f t="shared" si="26"/>
        <v>0.270606887816907</v>
      </c>
      <c r="K70" s="42">
        <f t="shared" si="27"/>
        <v>2.4866860495057752</v>
      </c>
      <c r="L70" s="8">
        <f t="shared" si="28"/>
        <v>1.3647487495994486</v>
      </c>
      <c r="M70" s="42">
        <f t="shared" si="29"/>
        <v>0.44315283606445127</v>
      </c>
      <c r="N70" s="42">
        <f t="shared" si="30"/>
        <v>1.3725888630572978</v>
      </c>
      <c r="O70" s="8">
        <f t="shared" si="31"/>
        <v>0.48353493470070946</v>
      </c>
      <c r="P70" s="8">
        <f t="shared" si="32"/>
        <v>2.8022406509465653E-2</v>
      </c>
      <c r="Q70" s="8">
        <f t="shared" si="33"/>
        <v>2.0533014972675505E-2</v>
      </c>
      <c r="R70" s="8">
        <f t="shared" si="34"/>
        <v>2.5747641658655636</v>
      </c>
      <c r="S70" s="8">
        <f t="shared" si="35"/>
        <v>0.12015379811096806</v>
      </c>
      <c r="T70" s="8">
        <v>0.12015379544200665</v>
      </c>
      <c r="U70" s="9">
        <f t="shared" si="36"/>
        <v>2.6689614129882244E-9</v>
      </c>
      <c r="V70" s="6"/>
      <c r="W70" s="6"/>
      <c r="AC70" s="6"/>
      <c r="AD70" s="6"/>
      <c r="AE70" s="6"/>
      <c r="AF70" s="6"/>
      <c r="AG70" s="6"/>
    </row>
    <row r="71" spans="1:33" x14ac:dyDescent="0.3">
      <c r="A71">
        <f t="shared" si="13"/>
        <v>0.45000000000000023</v>
      </c>
      <c r="B71">
        <f t="shared" si="21"/>
        <v>1.3779472222222229</v>
      </c>
      <c r="C71">
        <f t="shared" si="22"/>
        <v>5.1413255360624494E-2</v>
      </c>
      <c r="D71">
        <f t="shared" si="23"/>
        <v>0.22311403508771913</v>
      </c>
      <c r="E71">
        <f t="shared" si="19"/>
        <v>0.16191769284740959</v>
      </c>
      <c r="F71">
        <f t="shared" si="24"/>
        <v>2.597644444444446</v>
      </c>
      <c r="G71">
        <f t="shared" si="20"/>
        <v>0.93467687840519009</v>
      </c>
      <c r="I71">
        <f t="shared" si="17"/>
        <v>0.45000000000000023</v>
      </c>
      <c r="J71" s="8">
        <f t="shared" si="26"/>
        <v>0.2680747252471874</v>
      </c>
      <c r="K71" s="42">
        <f t="shared" si="27"/>
        <v>2.4853167339007651</v>
      </c>
      <c r="L71" s="8">
        <f t="shared" si="28"/>
        <v>1.3864672555025321</v>
      </c>
      <c r="M71" s="42">
        <f t="shared" si="29"/>
        <v>0.45309490681556713</v>
      </c>
      <c r="N71" s="42">
        <f t="shared" si="30"/>
        <v>1.3941590792011243</v>
      </c>
      <c r="O71" s="8">
        <f t="shared" si="31"/>
        <v>0.50070023480339954</v>
      </c>
      <c r="P71" s="8">
        <f t="shared" si="32"/>
        <v>2.0934894338470244E-2</v>
      </c>
      <c r="Q71" s="8">
        <f t="shared" si="33"/>
        <v>1.5099450964590061E-2</v>
      </c>
      <c r="R71" s="8">
        <f t="shared" si="34"/>
        <v>2.614684511005064</v>
      </c>
      <c r="S71" s="8">
        <f t="shared" si="35"/>
        <v>8.7734001248431309E-2</v>
      </c>
      <c r="T71" s="8">
        <v>8.7733999514455055E-2</v>
      </c>
      <c r="U71" s="9">
        <f t="shared" si="36"/>
        <v>1.7339762542478709E-9</v>
      </c>
    </row>
    <row r="72" spans="1:33" x14ac:dyDescent="0.3">
      <c r="A72">
        <f t="shared" si="13"/>
        <v>0.46000000000000024</v>
      </c>
      <c r="B72">
        <f t="shared" si="21"/>
        <v>1.4027633333333338</v>
      </c>
      <c r="C72">
        <f t="shared" si="22"/>
        <v>7.8508771929825874E-2</v>
      </c>
      <c r="D72">
        <f t="shared" si="23"/>
        <v>0.21560818713450247</v>
      </c>
      <c r="E72">
        <f t="shared" si="19"/>
        <v>0.15370246855694528</v>
      </c>
      <c r="F72">
        <f t="shared" si="24"/>
        <v>2.6437600000000008</v>
      </c>
      <c r="G72">
        <f t="shared" si="20"/>
        <v>0.88337486580893376</v>
      </c>
      <c r="I72">
        <f t="shared" si="17"/>
        <v>0.46000000000000024</v>
      </c>
      <c r="J72" s="8">
        <f t="shared" si="26"/>
        <v>0.2655416173273964</v>
      </c>
      <c r="K72" s="42">
        <f t="shared" si="27"/>
        <v>2.4839469070795244</v>
      </c>
      <c r="L72" s="8">
        <f t="shared" si="28"/>
        <v>1.4081571945839781</v>
      </c>
      <c r="M72" s="42">
        <f t="shared" si="29"/>
        <v>0.46304068930992026</v>
      </c>
      <c r="N72" s="42">
        <f t="shared" si="30"/>
        <v>1.4157101053907437</v>
      </c>
      <c r="O72" s="8">
        <f t="shared" si="31"/>
        <v>0.51788613195716959</v>
      </c>
      <c r="P72" s="8">
        <f t="shared" si="32"/>
        <v>1.3494601521924242E-2</v>
      </c>
      <c r="Q72" s="8">
        <f t="shared" si="33"/>
        <v>9.5831641338245954E-3</v>
      </c>
      <c r="R72" s="8">
        <f t="shared" si="34"/>
        <v>2.6545477225012895</v>
      </c>
      <c r="S72" s="8">
        <f t="shared" si="35"/>
        <v>5.5302101143043715E-2</v>
      </c>
      <c r="T72" s="8">
        <v>5.5302100076346866E-2</v>
      </c>
      <c r="U72" s="9">
        <f t="shared" si="36"/>
        <v>1.0666968489059236E-9</v>
      </c>
    </row>
    <row r="73" spans="1:33" x14ac:dyDescent="0.3">
      <c r="A73">
        <v>0.47</v>
      </c>
      <c r="B73">
        <f t="shared" si="21"/>
        <v>1.4275794444444443</v>
      </c>
      <c r="C73">
        <f t="shared" si="22"/>
        <v>0.15979532163742807</v>
      </c>
      <c r="D73">
        <f t="shared" si="23"/>
        <v>0.18209064327485328</v>
      </c>
      <c r="E73">
        <f t="shared" si="19"/>
        <v>0.12755202099853402</v>
      </c>
      <c r="F73">
        <f t="shared" si="24"/>
        <v>2.6898755555555547</v>
      </c>
      <c r="G73">
        <f t="shared" si="20"/>
        <v>0.72999800711843721</v>
      </c>
      <c r="I73">
        <v>0.47</v>
      </c>
      <c r="J73" s="8">
        <f t="shared" si="26"/>
        <v>0.26300765186189151</v>
      </c>
      <c r="K73" s="42">
        <f t="shared" si="27"/>
        <v>2.4825766165239478</v>
      </c>
      <c r="L73" s="8">
        <f t="shared" si="28"/>
        <v>1.429818661628147</v>
      </c>
      <c r="M73" s="42">
        <f t="shared" si="29"/>
        <v>0.47298983879984546</v>
      </c>
      <c r="N73" s="42">
        <f t="shared" si="30"/>
        <v>1.4372411655198194</v>
      </c>
      <c r="O73" s="8">
        <f t="shared" si="31"/>
        <v>0.53509146812014341</v>
      </c>
      <c r="P73" s="8">
        <f t="shared" si="32"/>
        <v>5.7014544279770669E-3</v>
      </c>
      <c r="Q73" s="8">
        <f t="shared" si="33"/>
        <v>3.9875367282483018E-3</v>
      </c>
      <c r="R73" s="8">
        <f t="shared" si="34"/>
        <v>2.6943539899229605</v>
      </c>
      <c r="S73" s="8">
        <f t="shared" si="35"/>
        <v>2.2859224454723746E-2</v>
      </c>
      <c r="T73" s="8">
        <v>2.2859221304851549E-2</v>
      </c>
      <c r="U73" s="9">
        <f t="shared" si="36"/>
        <v>3.1498721964062781E-9</v>
      </c>
    </row>
    <row r="74" spans="1:33" x14ac:dyDescent="0.3">
      <c r="A74">
        <v>0.47499999999999998</v>
      </c>
      <c r="B74">
        <f t="shared" si="21"/>
        <v>1.4399875</v>
      </c>
      <c r="C74">
        <f t="shared" si="22"/>
        <v>0.32236842105263974</v>
      </c>
      <c r="D74">
        <f t="shared" si="23"/>
        <v>0.1068055555555517</v>
      </c>
      <c r="E74">
        <f t="shared" si="19"/>
        <v>7.4171168538304466E-2</v>
      </c>
      <c r="F74">
        <f t="shared" si="24"/>
        <v>2.7129333333333334</v>
      </c>
      <c r="G74">
        <f t="shared" si="20"/>
        <v>0.42362407473652802</v>
      </c>
      <c r="I74">
        <v>0.47699999999999998</v>
      </c>
      <c r="J74" s="8">
        <f t="shared" si="26"/>
        <v>0.26123340757608476</v>
      </c>
      <c r="K74" s="42">
        <f t="shared" si="27"/>
        <v>2.4816171598063153</v>
      </c>
      <c r="L74" s="8">
        <f t="shared" si="28"/>
        <v>1.4449647928036971</v>
      </c>
      <c r="M74" s="42">
        <f t="shared" si="29"/>
        <v>0.47995608276466606</v>
      </c>
      <c r="N74" s="42">
        <f t="shared" si="30"/>
        <v>1.4523006585183</v>
      </c>
      <c r="O74" s="8">
        <f t="shared" si="31"/>
        <v>0.54714620567979266</v>
      </c>
      <c r="P74" s="8">
        <f t="shared" si="32"/>
        <v>3.625989073892555E-5</v>
      </c>
      <c r="Q74" s="8">
        <f t="shared" si="33"/>
        <v>2.509396140273403E-5</v>
      </c>
      <c r="R74" s="8">
        <f t="shared" si="34"/>
        <v>2.7221845856073941</v>
      </c>
      <c r="S74" s="8">
        <f t="shared" si="35"/>
        <v>1.4320837509926515E-4</v>
      </c>
      <c r="T74" s="8">
        <v>1.4320837608882477E-4</v>
      </c>
      <c r="U74" s="9">
        <f t="shared" si="36"/>
        <v>-9.8955961697413941E-13</v>
      </c>
    </row>
    <row r="75" spans="1:33" x14ac:dyDescent="0.3">
      <c r="A75">
        <v>0.47699999999999998</v>
      </c>
      <c r="B75">
        <f t="shared" si="21"/>
        <v>1.4449507222222222</v>
      </c>
      <c r="C75">
        <f t="shared" ref="C75" si="37">$F$7*B75/($D$14-B75)</f>
        <v>0.53913255360626111</v>
      </c>
      <c r="D75">
        <f t="shared" ref="D75" si="38">-A75*(C75-B$20)</f>
        <v>3.8587719298134758E-3</v>
      </c>
      <c r="E75">
        <f t="shared" ref="E75" si="39">D75/B75</f>
        <v>2.6705214720948987E-3</v>
      </c>
      <c r="F75">
        <f t="shared" ref="F75" si="40">(B$12*A75-D$12*B75)/(-C$12)</f>
        <v>2.7221564444444444</v>
      </c>
      <c r="G75">
        <f t="shared" ref="G75" si="41">F75*E75/A75</f>
        <v>1.5240203847568959E-2</v>
      </c>
      <c r="J75" s="8"/>
      <c r="K75" s="42"/>
      <c r="L75" s="8"/>
      <c r="M75" s="42"/>
      <c r="N75" s="42"/>
      <c r="O75" s="8"/>
      <c r="P75" s="8"/>
      <c r="Q75" s="8"/>
      <c r="R75" s="8"/>
      <c r="S75" s="8"/>
      <c r="T75" s="8"/>
      <c r="U75" s="9"/>
    </row>
    <row r="79" spans="1:33" x14ac:dyDescent="0.3">
      <c r="O79" t="s">
        <v>330</v>
      </c>
    </row>
    <row r="80" spans="1:33" x14ac:dyDescent="0.3">
      <c r="Q80" t="s">
        <v>324</v>
      </c>
      <c r="S80" t="s">
        <v>323</v>
      </c>
      <c r="U80" t="s">
        <v>322</v>
      </c>
    </row>
    <row r="81" spans="1:30" x14ac:dyDescent="0.3">
      <c r="O81" s="2" t="s">
        <v>152</v>
      </c>
      <c r="P81" s="2" t="s">
        <v>316</v>
      </c>
      <c r="Q81" s="2" t="s">
        <v>317</v>
      </c>
      <c r="R81" s="30" t="s">
        <v>319</v>
      </c>
      <c r="S81" s="30" t="s">
        <v>320</v>
      </c>
      <c r="T81" s="30" t="s">
        <v>321</v>
      </c>
      <c r="U81" s="30" t="s">
        <v>321</v>
      </c>
    </row>
    <row r="82" spans="1:30" x14ac:dyDescent="0.3">
      <c r="O82" s="19">
        <v>4.8780487804878002E-2</v>
      </c>
      <c r="P82" s="21">
        <v>47.994011976047801</v>
      </c>
      <c r="Q82">
        <f>P82/$C$11</f>
        <v>1.0433480864358218</v>
      </c>
      <c r="R82" s="48">
        <v>1.30287557519147</v>
      </c>
      <c r="S82">
        <f>R82/$B$11</f>
        <v>5.5417931739322419E-2</v>
      </c>
      <c r="T82" s="48">
        <v>0.70521286414326301</v>
      </c>
      <c r="U82">
        <f>T82/$D$11</f>
        <v>3.9178492452403499E-3</v>
      </c>
    </row>
    <row r="83" spans="1:30" x14ac:dyDescent="0.3">
      <c r="O83" s="19">
        <v>9.7560975609756101E-2</v>
      </c>
      <c r="P83" s="21">
        <v>47.155688622754397</v>
      </c>
      <c r="Q83">
        <f t="shared" ref="Q83:Q90" si="42">P83/$C$11</f>
        <v>1.0251236657120522</v>
      </c>
      <c r="R83" s="48">
        <v>1.96103985446318</v>
      </c>
      <c r="S83">
        <f t="shared" ref="S83:S90" si="43">R83/$B$11</f>
        <v>8.3413009547561895E-2</v>
      </c>
      <c r="T83" s="48">
        <v>0.88980220385391795</v>
      </c>
      <c r="U83">
        <f t="shared" ref="U83:U90" si="44">T83/$D$11</f>
        <v>4.9433455769662109E-3</v>
      </c>
    </row>
    <row r="84" spans="1:30" x14ac:dyDescent="0.3">
      <c r="O84" s="19">
        <v>0.142276422764227</v>
      </c>
      <c r="P84" s="21">
        <v>45.059880239520901</v>
      </c>
      <c r="Q84">
        <f t="shared" si="42"/>
        <v>0.97956261390262822</v>
      </c>
      <c r="R84" s="48">
        <v>2.44412425664623</v>
      </c>
      <c r="S84">
        <f t="shared" si="43"/>
        <v>0.10396104877270226</v>
      </c>
      <c r="T84" s="48">
        <v>0.55682751095042704</v>
      </c>
      <c r="U84">
        <f t="shared" si="44"/>
        <v>3.0934861719468169E-3</v>
      </c>
    </row>
    <row r="85" spans="1:30" x14ac:dyDescent="0.3">
      <c r="A85" s="43"/>
      <c r="B85" s="43"/>
      <c r="C85" s="43"/>
      <c r="D85" s="43"/>
      <c r="E85" s="43"/>
      <c r="O85" s="19">
        <v>0.18191056910569101</v>
      </c>
      <c r="P85" s="21">
        <v>46.526946107784397</v>
      </c>
      <c r="Q85">
        <f t="shared" si="42"/>
        <v>1.0114553501692261</v>
      </c>
      <c r="R85" s="48">
        <v>2.88860776909788</v>
      </c>
      <c r="S85">
        <f t="shared" si="43"/>
        <v>0.12286719562304893</v>
      </c>
      <c r="T85" s="48">
        <v>1.0177909449240401</v>
      </c>
      <c r="U85">
        <f t="shared" si="44"/>
        <v>5.6543941384668891E-3</v>
      </c>
    </row>
    <row r="86" spans="1:30" x14ac:dyDescent="0.3">
      <c r="A86" s="44"/>
      <c r="B86" s="43"/>
      <c r="C86" s="43"/>
      <c r="D86" s="43"/>
      <c r="E86" s="43"/>
      <c r="O86" s="19">
        <v>0.22662601626016199</v>
      </c>
      <c r="P86" s="21">
        <v>39.820359281437099</v>
      </c>
      <c r="Q86">
        <f t="shared" si="42"/>
        <v>0.86565998437906733</v>
      </c>
      <c r="R86" s="48">
        <v>3.03922767645575</v>
      </c>
      <c r="S86">
        <f t="shared" si="43"/>
        <v>0.12927382715677371</v>
      </c>
      <c r="T86" s="48">
        <v>8.7781919423183705</v>
      </c>
      <c r="U86">
        <f t="shared" si="44"/>
        <v>4.8767733012879837E-2</v>
      </c>
    </row>
    <row r="87" spans="1:30" x14ac:dyDescent="0.3">
      <c r="A87" s="43"/>
      <c r="B87" s="43"/>
      <c r="C87" s="43"/>
      <c r="D87" s="43"/>
      <c r="E87" s="43"/>
      <c r="O87" s="19">
        <v>0.26727642276422697</v>
      </c>
      <c r="P87" s="21">
        <v>33.742514970059801</v>
      </c>
      <c r="Q87">
        <f t="shared" si="42"/>
        <v>0.73353293413173482</v>
      </c>
      <c r="R87" s="48">
        <v>2.7026355617384898</v>
      </c>
      <c r="S87">
        <f t="shared" si="43"/>
        <v>0.11495685077577585</v>
      </c>
      <c r="T87" s="48">
        <v>21.769304118585801</v>
      </c>
      <c r="U87">
        <f t="shared" si="44"/>
        <v>0.12094057843658779</v>
      </c>
    </row>
    <row r="88" spans="1:30" x14ac:dyDescent="0.3">
      <c r="A88" s="43"/>
      <c r="B88" s="43"/>
      <c r="C88" s="43"/>
      <c r="D88" s="43"/>
      <c r="E88" s="43"/>
      <c r="O88" s="19">
        <v>0.32317073170731703</v>
      </c>
      <c r="P88" s="21">
        <v>23.4730538922155</v>
      </c>
      <c r="Q88">
        <f t="shared" si="42"/>
        <v>0.51028378026555432</v>
      </c>
      <c r="R88" s="48">
        <v>2.1491523091740099</v>
      </c>
      <c r="S88">
        <f t="shared" si="43"/>
        <v>9.141439001165505E-2</v>
      </c>
      <c r="T88" s="48">
        <v>41.262856239578497</v>
      </c>
      <c r="U88">
        <f t="shared" si="44"/>
        <v>0.22923809021988054</v>
      </c>
    </row>
    <row r="89" spans="1:30" s="7" customFormat="1" x14ac:dyDescent="0.3">
      <c r="A89" s="46"/>
      <c r="B89" s="46"/>
      <c r="C89" s="46"/>
      <c r="D89" s="46"/>
      <c r="E89" s="46"/>
      <c r="O89" s="19">
        <v>0.361788617886178</v>
      </c>
      <c r="P89" s="21">
        <v>18.023952095808301</v>
      </c>
      <c r="Q89">
        <f t="shared" si="42"/>
        <v>0.39182504556105002</v>
      </c>
      <c r="R89" s="49">
        <v>1.7538562671028599</v>
      </c>
      <c r="S89">
        <f t="shared" si="43"/>
        <v>7.4600436712159088E-2</v>
      </c>
      <c r="T89" s="49">
        <v>53.212721366980901</v>
      </c>
      <c r="U89">
        <f t="shared" si="44"/>
        <v>0.29562622981656056</v>
      </c>
    </row>
    <row r="90" spans="1:30" x14ac:dyDescent="0.3">
      <c r="A90" s="41"/>
      <c r="B90" s="7"/>
      <c r="C90" s="7"/>
      <c r="D90" s="7"/>
      <c r="E90" s="7"/>
      <c r="F90" s="7"/>
      <c r="G90" s="7"/>
      <c r="H90" s="7"/>
      <c r="I90" s="41"/>
      <c r="J90" s="7"/>
      <c r="K90" s="7"/>
      <c r="L90" s="7"/>
      <c r="M90" s="7"/>
      <c r="N90" s="7"/>
      <c r="O90" s="20">
        <v>0.401422764227642</v>
      </c>
      <c r="P90" s="22">
        <v>11.946107784431099</v>
      </c>
      <c r="Q90" s="2">
        <f t="shared" si="42"/>
        <v>0.25969799531371957</v>
      </c>
      <c r="R90" s="50">
        <v>1.2610260957302</v>
      </c>
      <c r="S90" s="2">
        <f t="shared" si="43"/>
        <v>5.3637860303283713E-2</v>
      </c>
      <c r="T90" s="50">
        <v>67.509216719102895</v>
      </c>
      <c r="U90" s="2">
        <f t="shared" si="44"/>
        <v>0.37505120399501607</v>
      </c>
      <c r="V90" s="7"/>
      <c r="W90" s="7"/>
      <c r="X90" s="7"/>
      <c r="Y90" s="7"/>
      <c r="Z90" s="7"/>
      <c r="AA90" s="7"/>
      <c r="AB90" s="7"/>
      <c r="AC90" s="7"/>
      <c r="AD90" s="7"/>
    </row>
    <row r="91" spans="1:30" x14ac:dyDescent="0.3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</row>
    <row r="92" spans="1:30" x14ac:dyDescent="0.3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</row>
    <row r="93" spans="1:30" x14ac:dyDescent="0.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</row>
    <row r="94" spans="1:30" x14ac:dyDescent="0.3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45"/>
      <c r="V94" s="7"/>
      <c r="W94" s="7"/>
      <c r="X94" s="7"/>
      <c r="Y94" s="7"/>
      <c r="Z94" s="7"/>
      <c r="AA94" s="7"/>
      <c r="AB94" s="7"/>
      <c r="AC94" s="7"/>
      <c r="AD94" s="7"/>
    </row>
    <row r="95" spans="1:30" x14ac:dyDescent="0.3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45"/>
      <c r="V95" s="7"/>
      <c r="W95" s="7"/>
      <c r="X95" s="7"/>
      <c r="Y95" s="7"/>
      <c r="Z95" s="7"/>
      <c r="AA95" s="7"/>
      <c r="AB95" s="7"/>
      <c r="AC95" s="7"/>
      <c r="AD95" s="7"/>
    </row>
    <row r="96" spans="1:30" x14ac:dyDescent="0.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45"/>
      <c r="V96" s="7"/>
      <c r="W96" s="7"/>
      <c r="X96" s="7"/>
      <c r="Y96" s="7"/>
      <c r="Z96" s="7"/>
      <c r="AA96" s="7"/>
      <c r="AB96" s="7"/>
      <c r="AC96" s="7"/>
      <c r="AD96" s="7"/>
    </row>
    <row r="97" spans="1:30" x14ac:dyDescent="0.3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45"/>
      <c r="V97" s="7"/>
      <c r="W97" s="7"/>
      <c r="X97" s="7"/>
      <c r="Y97" s="7"/>
      <c r="Z97" s="7"/>
      <c r="AA97" s="7"/>
      <c r="AB97" s="7"/>
      <c r="AC97" s="7"/>
      <c r="AD97" s="7"/>
    </row>
    <row r="98" spans="1:30" x14ac:dyDescent="0.3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45"/>
      <c r="V98" s="7"/>
      <c r="W98" s="7"/>
      <c r="X98" s="7"/>
      <c r="Y98" s="7"/>
      <c r="Z98" s="7"/>
      <c r="AA98" s="7"/>
      <c r="AB98" s="7"/>
      <c r="AC98" s="7"/>
      <c r="AD98" s="7"/>
    </row>
    <row r="99" spans="1:30" x14ac:dyDescent="0.3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45"/>
      <c r="V99" s="7"/>
      <c r="W99" s="7"/>
      <c r="X99" s="7"/>
      <c r="Y99" s="7"/>
      <c r="Z99" s="7"/>
      <c r="AA99" s="7"/>
      <c r="AB99" s="7"/>
      <c r="AC99" s="7"/>
      <c r="AD99" s="7"/>
    </row>
    <row r="100" spans="1:30" x14ac:dyDescent="0.3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45"/>
      <c r="V100" s="7"/>
      <c r="W100" s="7"/>
      <c r="X100" s="7"/>
      <c r="Y100" s="7"/>
      <c r="Z100" s="7"/>
      <c r="AA100" s="7"/>
      <c r="AB100" s="7"/>
      <c r="AC100" s="7"/>
      <c r="AD100" s="7"/>
    </row>
    <row r="101" spans="1:30" x14ac:dyDescent="0.3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45"/>
      <c r="V101" s="7"/>
      <c r="W101" s="7"/>
      <c r="X101" s="7"/>
      <c r="Y101" s="7"/>
      <c r="Z101" s="7"/>
      <c r="AA101" s="7"/>
      <c r="AB101" s="7"/>
      <c r="AC101" s="7"/>
      <c r="AD101" s="7"/>
    </row>
    <row r="102" spans="1:30" x14ac:dyDescent="0.3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45"/>
      <c r="V102" s="7"/>
      <c r="W102" s="7"/>
      <c r="X102" s="7"/>
      <c r="Y102" s="7"/>
      <c r="Z102" s="7"/>
      <c r="AA102" s="7"/>
      <c r="AB102" s="7"/>
      <c r="AC102" s="7"/>
      <c r="AD102" s="7"/>
    </row>
    <row r="103" spans="1:30" x14ac:dyDescent="0.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45"/>
      <c r="V103" s="7"/>
      <c r="W103" s="7"/>
      <c r="X103" s="7"/>
      <c r="Y103" s="7"/>
      <c r="Z103" s="7"/>
      <c r="AA103" s="7"/>
      <c r="AB103" s="7"/>
      <c r="AC103" s="7"/>
      <c r="AD103" s="7"/>
    </row>
    <row r="104" spans="1:30" x14ac:dyDescent="0.3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45"/>
      <c r="V104" s="7"/>
      <c r="W104" s="7"/>
      <c r="X104" s="7"/>
      <c r="Y104" s="7"/>
      <c r="Z104" s="7"/>
      <c r="AA104" s="7"/>
      <c r="AB104" s="7"/>
      <c r="AC104" s="7"/>
      <c r="AD104" s="7"/>
    </row>
    <row r="105" spans="1:30" x14ac:dyDescent="0.3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45"/>
      <c r="V105" s="7"/>
      <c r="W105" s="7"/>
      <c r="X105" s="7"/>
      <c r="Y105" s="7"/>
      <c r="Z105" s="7"/>
      <c r="AA105" s="7"/>
      <c r="AB105" s="7"/>
      <c r="AC105" s="7"/>
      <c r="AD105" s="7"/>
    </row>
    <row r="106" spans="1:30" x14ac:dyDescent="0.3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45"/>
      <c r="V106" s="7"/>
      <c r="W106" s="7"/>
      <c r="X106" s="7"/>
      <c r="Y106" s="7"/>
      <c r="Z106" s="7"/>
      <c r="AA106" s="7"/>
      <c r="AB106" s="7"/>
      <c r="AC106" s="7"/>
      <c r="AD106" s="7"/>
    </row>
    <row r="107" spans="1:30" x14ac:dyDescent="0.3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45"/>
      <c r="V107" s="7"/>
      <c r="W107" s="7"/>
      <c r="X107" s="7"/>
      <c r="Y107" s="7"/>
      <c r="Z107" s="7"/>
      <c r="AA107" s="7"/>
      <c r="AB107" s="7"/>
      <c r="AC107" s="7"/>
      <c r="AD107" s="7"/>
    </row>
    <row r="108" spans="1:30" x14ac:dyDescent="0.3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45"/>
      <c r="V108" s="7"/>
      <c r="W108" s="7"/>
      <c r="X108" s="7"/>
      <c r="Y108" s="7"/>
      <c r="Z108" s="7"/>
      <c r="AA108" s="7"/>
      <c r="AB108" s="7"/>
      <c r="AC108" s="7"/>
      <c r="AD108" s="7"/>
    </row>
    <row r="109" spans="1:30" x14ac:dyDescent="0.3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45"/>
      <c r="V109" s="7"/>
      <c r="W109" s="7"/>
      <c r="X109" s="7"/>
      <c r="Y109" s="7"/>
      <c r="Z109" s="7"/>
      <c r="AA109" s="7"/>
      <c r="AB109" s="7"/>
      <c r="AC109" s="7"/>
      <c r="AD109" s="7"/>
    </row>
    <row r="110" spans="1:30" x14ac:dyDescent="0.3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45"/>
      <c r="V110" s="7"/>
      <c r="W110" s="7"/>
      <c r="X110" s="7"/>
      <c r="Y110" s="7"/>
      <c r="Z110" s="7"/>
      <c r="AA110" s="7"/>
      <c r="AB110" s="7"/>
      <c r="AC110" s="7"/>
      <c r="AD110" s="7"/>
    </row>
    <row r="111" spans="1:30" x14ac:dyDescent="0.3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45"/>
      <c r="V111" s="7"/>
      <c r="W111" s="7"/>
      <c r="X111" s="7"/>
      <c r="Y111" s="7"/>
      <c r="Z111" s="7"/>
      <c r="AA111" s="7"/>
      <c r="AB111" s="7"/>
      <c r="AC111" s="7"/>
      <c r="AD111" s="7"/>
    </row>
    <row r="112" spans="1:30" x14ac:dyDescent="0.3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45"/>
      <c r="V112" s="7"/>
      <c r="W112" s="7"/>
      <c r="X112" s="7"/>
      <c r="Y112" s="7"/>
      <c r="Z112" s="7"/>
      <c r="AA112" s="7"/>
      <c r="AB112" s="7"/>
      <c r="AC112" s="7"/>
      <c r="AD112" s="7"/>
    </row>
    <row r="113" spans="1:30" x14ac:dyDescent="0.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45"/>
      <c r="V113" s="7"/>
      <c r="W113" s="7"/>
      <c r="X113" s="7"/>
      <c r="Y113" s="7"/>
      <c r="Z113" s="7"/>
      <c r="AA113" s="7"/>
      <c r="AB113" s="7"/>
      <c r="AC113" s="7"/>
      <c r="AD113" s="7"/>
    </row>
    <row r="114" spans="1:30" x14ac:dyDescent="0.3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45"/>
      <c r="V114" s="7"/>
      <c r="W114" s="7"/>
      <c r="X114" s="7"/>
      <c r="Y114" s="7"/>
      <c r="Z114" s="7"/>
      <c r="AA114" s="7"/>
      <c r="AB114" s="7"/>
      <c r="AC114" s="7"/>
      <c r="AD114" s="7"/>
    </row>
    <row r="115" spans="1:30" x14ac:dyDescent="0.3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45"/>
      <c r="V115" s="7"/>
      <c r="W115" s="7"/>
      <c r="X115" s="7"/>
      <c r="Y115" s="7"/>
      <c r="Z115" s="7"/>
      <c r="AA115" s="7"/>
      <c r="AB115" s="7"/>
      <c r="AC115" s="7"/>
      <c r="AD115" s="7"/>
    </row>
    <row r="116" spans="1:30" x14ac:dyDescent="0.3">
      <c r="A116" s="7"/>
      <c r="B116" s="7"/>
      <c r="C116" s="7"/>
      <c r="D116" s="7"/>
      <c r="E116" s="7"/>
      <c r="F116" s="7"/>
      <c r="G116" s="7"/>
      <c r="H116" s="7"/>
      <c r="I116" s="42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45"/>
      <c r="V116" s="42"/>
      <c r="W116" s="42"/>
      <c r="X116" s="7"/>
      <c r="Y116" s="7"/>
      <c r="Z116" s="7"/>
      <c r="AA116" s="7"/>
      <c r="AB116" s="7"/>
      <c r="AC116" s="7"/>
      <c r="AD116" s="7"/>
    </row>
    <row r="117" spans="1:30" x14ac:dyDescent="0.3">
      <c r="A117" s="7"/>
      <c r="B117" s="7"/>
      <c r="C117" s="7"/>
      <c r="D117" s="7"/>
      <c r="E117" s="7"/>
      <c r="F117" s="7"/>
      <c r="G117" s="7"/>
      <c r="H117" s="7"/>
      <c r="I117" s="42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45"/>
      <c r="V117" s="15"/>
      <c r="W117" s="42"/>
      <c r="X117" s="7"/>
      <c r="Y117" s="7"/>
      <c r="Z117" s="7"/>
      <c r="AA117" s="7"/>
      <c r="AB117" s="7"/>
      <c r="AC117" s="7"/>
      <c r="AD117" s="7"/>
    </row>
    <row r="118" spans="1:30" x14ac:dyDescent="0.3">
      <c r="A118" s="7"/>
      <c r="B118" s="7"/>
      <c r="C118" s="7"/>
      <c r="D118" s="7"/>
      <c r="E118" s="7"/>
      <c r="F118" s="7"/>
      <c r="G118" s="7"/>
      <c r="H118" s="7"/>
      <c r="I118" s="42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45"/>
      <c r="V118" s="15"/>
      <c r="W118" s="42"/>
      <c r="X118" s="7"/>
      <c r="Y118" s="7"/>
      <c r="Z118" s="7"/>
      <c r="AA118" s="7"/>
      <c r="AB118" s="7"/>
      <c r="AC118" s="7"/>
      <c r="AD118" s="7"/>
    </row>
    <row r="119" spans="1:30" x14ac:dyDescent="0.3">
      <c r="A119" s="7"/>
      <c r="B119" s="7"/>
      <c r="C119" s="7"/>
      <c r="D119" s="7"/>
      <c r="E119" s="7"/>
      <c r="F119" s="7"/>
      <c r="G119" s="7"/>
      <c r="H119" s="7"/>
      <c r="I119" s="42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45"/>
      <c r="V119" s="15"/>
      <c r="W119" s="42"/>
      <c r="X119" s="7"/>
      <c r="Y119" s="7"/>
      <c r="Z119" s="7"/>
      <c r="AA119" s="7"/>
      <c r="AB119" s="7"/>
      <c r="AC119" s="7"/>
      <c r="AD119" s="7"/>
    </row>
    <row r="120" spans="1:30" x14ac:dyDescent="0.3">
      <c r="A120" s="7"/>
      <c r="B120" s="7"/>
      <c r="C120" s="7"/>
      <c r="D120" s="7"/>
      <c r="E120" s="7"/>
      <c r="F120" s="7"/>
      <c r="G120" s="7"/>
      <c r="H120" s="7"/>
      <c r="I120" s="42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45"/>
      <c r="V120" s="15"/>
      <c r="W120" s="42"/>
      <c r="X120" s="7"/>
      <c r="Y120" s="7"/>
      <c r="Z120" s="7"/>
      <c r="AA120" s="7"/>
      <c r="AB120" s="7"/>
      <c r="AC120" s="7"/>
      <c r="AD120" s="7"/>
    </row>
    <row r="121" spans="1:30" x14ac:dyDescent="0.3">
      <c r="A121" s="7"/>
      <c r="B121" s="7"/>
      <c r="C121" s="7"/>
      <c r="D121" s="7"/>
      <c r="E121" s="7"/>
      <c r="F121" s="7"/>
      <c r="G121" s="7"/>
      <c r="H121" s="7"/>
      <c r="I121" s="42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45"/>
      <c r="V121" s="15"/>
      <c r="W121" s="42"/>
      <c r="X121" s="7"/>
      <c r="Y121" s="7"/>
      <c r="Z121" s="7"/>
      <c r="AA121" s="7"/>
      <c r="AB121" s="7"/>
      <c r="AC121" s="7"/>
      <c r="AD121" s="7"/>
    </row>
    <row r="122" spans="1:30" x14ac:dyDescent="0.3">
      <c r="A122" s="7"/>
      <c r="B122" s="7"/>
      <c r="C122" s="7"/>
      <c r="D122" s="7"/>
      <c r="E122" s="7"/>
      <c r="F122" s="7"/>
      <c r="G122" s="7"/>
      <c r="H122" s="7"/>
      <c r="I122" s="42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45"/>
      <c r="V122" s="15"/>
      <c r="W122" s="42"/>
      <c r="X122" s="7"/>
      <c r="Y122" s="7"/>
      <c r="Z122" s="7"/>
      <c r="AA122" s="7"/>
      <c r="AB122" s="7"/>
      <c r="AC122" s="7"/>
      <c r="AD122" s="7"/>
    </row>
    <row r="123" spans="1:30" x14ac:dyDescent="0.3">
      <c r="A123" s="7"/>
      <c r="B123" s="7"/>
      <c r="C123" s="7"/>
      <c r="D123" s="7"/>
      <c r="E123" s="7"/>
      <c r="F123" s="7"/>
      <c r="G123" s="7"/>
      <c r="H123" s="7"/>
      <c r="I123" s="42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45"/>
      <c r="V123" s="15"/>
      <c r="W123" s="42"/>
      <c r="X123" s="7"/>
      <c r="Y123" s="7"/>
      <c r="Z123" s="7"/>
      <c r="AA123" s="7"/>
      <c r="AB123" s="7"/>
      <c r="AC123" s="7"/>
      <c r="AD123" s="7"/>
    </row>
    <row r="124" spans="1:30" x14ac:dyDescent="0.3">
      <c r="A124" s="7"/>
      <c r="B124" s="7"/>
      <c r="C124" s="7"/>
      <c r="D124" s="7"/>
      <c r="E124" s="7"/>
      <c r="F124" s="7"/>
      <c r="G124" s="7"/>
      <c r="H124" s="7"/>
      <c r="I124" s="42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45"/>
      <c r="V124" s="15"/>
      <c r="W124" s="42"/>
      <c r="X124" s="7"/>
      <c r="Y124" s="7"/>
      <c r="Z124" s="7"/>
      <c r="AA124" s="7"/>
      <c r="AB124" s="7"/>
      <c r="AC124" s="7"/>
      <c r="AD124" s="7"/>
    </row>
    <row r="125" spans="1:30" x14ac:dyDescent="0.3">
      <c r="A125" s="7"/>
      <c r="B125" s="7"/>
      <c r="C125" s="7"/>
      <c r="D125" s="7"/>
      <c r="E125" s="42"/>
      <c r="F125" s="42"/>
      <c r="G125" s="42"/>
      <c r="H125" s="7"/>
      <c r="I125" s="42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45"/>
      <c r="V125" s="15"/>
      <c r="W125" s="42"/>
      <c r="X125" s="7"/>
      <c r="Y125" s="7"/>
      <c r="Z125" s="7"/>
      <c r="AA125" s="7"/>
      <c r="AB125" s="7"/>
      <c r="AC125" s="7"/>
      <c r="AD125" s="7"/>
    </row>
    <row r="126" spans="1:30" x14ac:dyDescent="0.3">
      <c r="A126" s="7"/>
      <c r="B126" s="7"/>
      <c r="C126" s="7"/>
      <c r="D126" s="7"/>
      <c r="E126" s="42"/>
      <c r="F126" s="42"/>
      <c r="G126" s="42"/>
      <c r="H126" s="7"/>
      <c r="I126" s="42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45"/>
      <c r="V126" s="15"/>
      <c r="W126" s="42"/>
      <c r="X126" s="7"/>
      <c r="Y126" s="7"/>
      <c r="Z126" s="7"/>
      <c r="AA126" s="7"/>
      <c r="AB126" s="7"/>
      <c r="AC126" s="7"/>
      <c r="AD126" s="7"/>
    </row>
    <row r="127" spans="1:30" x14ac:dyDescent="0.3">
      <c r="A127" s="7"/>
      <c r="B127" s="7"/>
      <c r="C127" s="7"/>
      <c r="D127" s="7"/>
      <c r="E127" s="42"/>
      <c r="F127" s="42"/>
      <c r="G127" s="42"/>
      <c r="H127" s="7"/>
      <c r="I127" s="42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45"/>
      <c r="V127" s="15"/>
      <c r="W127" s="42"/>
      <c r="X127" s="7"/>
      <c r="Y127" s="7"/>
      <c r="Z127" s="7"/>
      <c r="AA127" s="7"/>
      <c r="AB127" s="7"/>
      <c r="AC127" s="7"/>
      <c r="AD127" s="7"/>
    </row>
    <row r="128" spans="1:30" x14ac:dyDescent="0.3">
      <c r="A128" s="7"/>
      <c r="B128" s="7"/>
      <c r="C128" s="7"/>
      <c r="D128" s="7"/>
      <c r="E128" s="42"/>
      <c r="F128" s="42"/>
      <c r="G128" s="42"/>
      <c r="H128" s="7"/>
      <c r="I128" s="42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45"/>
      <c r="V128" s="15"/>
      <c r="W128" s="42"/>
      <c r="X128" s="7"/>
      <c r="Y128" s="7"/>
      <c r="Z128" s="7"/>
      <c r="AA128" s="7"/>
      <c r="AB128" s="7"/>
      <c r="AC128" s="7"/>
      <c r="AD128" s="7"/>
    </row>
    <row r="129" spans="1:30" x14ac:dyDescent="0.3">
      <c r="A129" s="7"/>
      <c r="B129" s="7"/>
      <c r="C129" s="7"/>
      <c r="D129" s="7"/>
      <c r="E129" s="42"/>
      <c r="F129" s="42"/>
      <c r="G129" s="42"/>
      <c r="H129" s="7"/>
      <c r="I129" s="42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45"/>
      <c r="V129" s="15"/>
      <c r="W129" s="42"/>
      <c r="X129" s="7"/>
      <c r="Y129" s="7"/>
      <c r="Z129" s="7"/>
      <c r="AA129" s="7"/>
      <c r="AB129" s="7"/>
      <c r="AC129" s="7"/>
      <c r="AD129" s="7"/>
    </row>
    <row r="130" spans="1:30" x14ac:dyDescent="0.3">
      <c r="A130" s="7"/>
      <c r="B130" s="7"/>
      <c r="C130" s="7"/>
      <c r="D130" s="7"/>
      <c r="E130" s="7"/>
      <c r="F130" s="7"/>
      <c r="G130" s="7"/>
      <c r="H130" s="7"/>
      <c r="I130" s="42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45"/>
      <c r="V130" s="15"/>
      <c r="W130" s="42"/>
      <c r="X130" s="7"/>
      <c r="Y130" s="7"/>
      <c r="Z130" s="7"/>
      <c r="AA130" s="7"/>
      <c r="AB130" s="7"/>
      <c r="AC130" s="7"/>
      <c r="AD130" s="7"/>
    </row>
    <row r="131" spans="1:30" x14ac:dyDescent="0.3">
      <c r="A131" s="7"/>
      <c r="B131" s="7"/>
      <c r="C131" s="7"/>
      <c r="D131" s="7"/>
      <c r="E131" s="7"/>
      <c r="F131" s="7"/>
      <c r="G131" s="7"/>
      <c r="H131" s="7"/>
      <c r="I131" s="42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45"/>
      <c r="V131" s="15"/>
      <c r="W131" s="42"/>
      <c r="X131" s="7"/>
      <c r="Y131" s="7"/>
      <c r="Z131" s="7"/>
      <c r="AA131" s="7"/>
      <c r="AB131" s="7"/>
      <c r="AC131" s="7"/>
      <c r="AD131" s="7"/>
    </row>
    <row r="132" spans="1:30" x14ac:dyDescent="0.3">
      <c r="A132" s="7"/>
      <c r="B132" s="7"/>
      <c r="C132" s="7"/>
      <c r="D132" s="7"/>
      <c r="E132" s="7"/>
      <c r="F132" s="7"/>
      <c r="G132" s="7"/>
      <c r="H132" s="7"/>
      <c r="I132" s="42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45"/>
      <c r="V132" s="15"/>
      <c r="W132" s="42"/>
      <c r="X132" s="7"/>
      <c r="Y132" s="7"/>
      <c r="Z132" s="7"/>
      <c r="AA132" s="7"/>
      <c r="AB132" s="7"/>
      <c r="AC132" s="7"/>
      <c r="AD132" s="7"/>
    </row>
    <row r="133" spans="1:30" x14ac:dyDescent="0.3">
      <c r="A133" s="7"/>
      <c r="B133" s="7"/>
      <c r="C133" s="7"/>
      <c r="D133" s="7"/>
      <c r="E133" s="7"/>
      <c r="F133" s="7"/>
      <c r="G133" s="7"/>
      <c r="H133" s="7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42"/>
      <c r="X133" s="7"/>
      <c r="Y133" s="7"/>
      <c r="Z133" s="7"/>
      <c r="AA133" s="7"/>
      <c r="AB133" s="7"/>
      <c r="AC133" s="7"/>
      <c r="AD133" s="7"/>
    </row>
    <row r="134" spans="1:30" x14ac:dyDescent="0.3">
      <c r="A134" s="7"/>
      <c r="B134" s="7"/>
      <c r="C134" s="7"/>
      <c r="D134" s="7"/>
      <c r="E134" s="7"/>
      <c r="F134" s="7"/>
      <c r="G134" s="7"/>
      <c r="H134" s="7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42"/>
      <c r="X134" s="7"/>
      <c r="Y134" s="7"/>
      <c r="Z134" s="7"/>
      <c r="AA134" s="7"/>
      <c r="AB134" s="7"/>
      <c r="AC134" s="7"/>
      <c r="AD134" s="7"/>
    </row>
    <row r="135" spans="1:30" x14ac:dyDescent="0.3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</row>
    <row r="136" spans="1:30" x14ac:dyDescent="0.3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</row>
    <row r="137" spans="1:30" x14ac:dyDescent="0.3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</row>
    <row r="138" spans="1:30" x14ac:dyDescent="0.3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</row>
    <row r="139" spans="1:30" x14ac:dyDescent="0.3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</row>
    <row r="140" spans="1:30" x14ac:dyDescent="0.3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</row>
    <row r="141" spans="1:30" x14ac:dyDescent="0.3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</row>
    <row r="142" spans="1:30" x14ac:dyDescent="0.3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</row>
    <row r="143" spans="1:30" x14ac:dyDescent="0.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</row>
    <row r="144" spans="1:30" x14ac:dyDescent="0.3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</row>
    <row r="145" spans="1:30" x14ac:dyDescent="0.3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</row>
    <row r="154" spans="1:30" x14ac:dyDescent="0.3">
      <c r="A154" s="16"/>
      <c r="B154" s="16"/>
      <c r="C154" s="16"/>
      <c r="D154" s="16"/>
      <c r="E154" s="16"/>
    </row>
    <row r="155" spans="1:30" x14ac:dyDescent="0.3">
      <c r="A155" s="16"/>
      <c r="B155" s="16"/>
      <c r="C155" s="16"/>
      <c r="D155" s="16"/>
      <c r="E155" s="16"/>
    </row>
    <row r="156" spans="1:30" x14ac:dyDescent="0.3">
      <c r="A156" s="16"/>
      <c r="B156" s="16"/>
      <c r="C156" s="16"/>
      <c r="D156" s="16"/>
      <c r="E156" s="16"/>
    </row>
    <row r="157" spans="1:30" x14ac:dyDescent="0.3">
      <c r="A157" s="47"/>
      <c r="B157" s="16"/>
      <c r="C157" s="16"/>
      <c r="D157" s="16"/>
      <c r="E157" s="16"/>
    </row>
    <row r="158" spans="1:30" x14ac:dyDescent="0.3">
      <c r="A158" s="16"/>
      <c r="B158" s="16"/>
      <c r="C158" s="16"/>
      <c r="D158" s="16"/>
      <c r="E158" s="16"/>
    </row>
    <row r="159" spans="1:30" x14ac:dyDescent="0.3">
      <c r="A159" s="16"/>
      <c r="B159" s="16"/>
      <c r="C159" s="16"/>
      <c r="D159" s="16"/>
      <c r="E159" s="16"/>
    </row>
    <row r="160" spans="1:30" x14ac:dyDescent="0.3">
      <c r="A160" s="16"/>
      <c r="B160" s="16"/>
      <c r="C160" s="16"/>
      <c r="D160" s="16"/>
      <c r="E160" s="16"/>
    </row>
    <row r="161" spans="1:21" s="7" customFormat="1" x14ac:dyDescent="0.3">
      <c r="A161" s="16"/>
      <c r="B161" s="16"/>
      <c r="C161" s="16"/>
      <c r="D161" s="16"/>
      <c r="E161" s="16"/>
    </row>
    <row r="163" spans="1:21" x14ac:dyDescent="0.3">
      <c r="A163" s="5"/>
      <c r="I163" s="5"/>
    </row>
    <row r="166" spans="1:21" s="7" customFormat="1" x14ac:dyDescent="0.3"/>
    <row r="167" spans="1:21" x14ac:dyDescent="0.3">
      <c r="K167" s="7"/>
      <c r="M167" s="7"/>
      <c r="N167" s="7"/>
      <c r="U167" s="9"/>
    </row>
    <row r="168" spans="1:21" x14ac:dyDescent="0.3">
      <c r="K168" s="7"/>
      <c r="M168" s="7"/>
      <c r="N168" s="7"/>
      <c r="U168" s="9"/>
    </row>
    <row r="169" spans="1:21" x14ac:dyDescent="0.3">
      <c r="K169" s="7"/>
      <c r="M169" s="7"/>
      <c r="N169" s="7"/>
      <c r="U169" s="9"/>
    </row>
    <row r="170" spans="1:21" x14ac:dyDescent="0.3">
      <c r="K170" s="7"/>
      <c r="M170" s="7"/>
      <c r="N170" s="7"/>
      <c r="U170" s="9"/>
    </row>
    <row r="171" spans="1:21" x14ac:dyDescent="0.3">
      <c r="K171" s="7"/>
      <c r="M171" s="7"/>
      <c r="N171" s="7"/>
      <c r="U171" s="9"/>
    </row>
    <row r="172" spans="1:21" x14ac:dyDescent="0.3">
      <c r="K172" s="7"/>
      <c r="M172" s="7"/>
      <c r="N172" s="7"/>
      <c r="U172" s="9"/>
    </row>
    <row r="173" spans="1:21" x14ac:dyDescent="0.3">
      <c r="K173" s="7"/>
      <c r="M173" s="7"/>
      <c r="N173" s="7"/>
      <c r="U173" s="9"/>
    </row>
    <row r="174" spans="1:21" x14ac:dyDescent="0.3">
      <c r="K174" s="7"/>
      <c r="M174" s="7"/>
      <c r="N174" s="7"/>
      <c r="U174" s="9"/>
    </row>
    <row r="175" spans="1:21" x14ac:dyDescent="0.3">
      <c r="K175" s="7"/>
      <c r="M175" s="7"/>
      <c r="N175" s="7"/>
      <c r="U175" s="9"/>
    </row>
    <row r="176" spans="1:21" x14ac:dyDescent="0.3">
      <c r="K176" s="7"/>
      <c r="M176" s="7"/>
      <c r="N176" s="7"/>
      <c r="U176" s="9"/>
    </row>
    <row r="177" spans="9:23" x14ac:dyDescent="0.3">
      <c r="K177" s="7"/>
      <c r="M177" s="7"/>
      <c r="N177" s="7"/>
      <c r="U177" s="9"/>
    </row>
    <row r="178" spans="9:23" x14ac:dyDescent="0.3">
      <c r="K178" s="7"/>
      <c r="M178" s="7"/>
      <c r="N178" s="7"/>
      <c r="U178" s="9"/>
    </row>
    <row r="179" spans="9:23" x14ac:dyDescent="0.3">
      <c r="K179" s="7"/>
      <c r="M179" s="7"/>
      <c r="N179" s="7"/>
      <c r="U179" s="9"/>
    </row>
    <row r="180" spans="9:23" x14ac:dyDescent="0.3">
      <c r="K180" s="7"/>
      <c r="M180" s="7"/>
      <c r="N180" s="7"/>
      <c r="U180" s="9"/>
    </row>
    <row r="181" spans="9:23" x14ac:dyDescent="0.3">
      <c r="K181" s="7"/>
      <c r="M181" s="7"/>
      <c r="N181" s="7"/>
      <c r="U181" s="9"/>
    </row>
    <row r="182" spans="9:23" x14ac:dyDescent="0.3">
      <c r="K182" s="7"/>
      <c r="M182" s="7"/>
      <c r="N182" s="7"/>
      <c r="U182" s="9"/>
    </row>
    <row r="183" spans="9:23" x14ac:dyDescent="0.3">
      <c r="K183" s="7"/>
      <c r="M183" s="7"/>
      <c r="N183" s="7"/>
      <c r="U183" s="9"/>
    </row>
    <row r="184" spans="9:23" x14ac:dyDescent="0.3">
      <c r="K184" s="7"/>
      <c r="M184" s="7"/>
      <c r="N184" s="7"/>
      <c r="U184" s="9"/>
    </row>
    <row r="185" spans="9:23" x14ac:dyDescent="0.3">
      <c r="K185" s="7"/>
      <c r="M185" s="7"/>
      <c r="N185" s="7"/>
      <c r="U185" s="9"/>
    </row>
    <row r="186" spans="9:23" x14ac:dyDescent="0.3">
      <c r="K186" s="7"/>
      <c r="M186" s="7"/>
      <c r="N186" s="7"/>
      <c r="U186" s="9"/>
    </row>
    <row r="187" spans="9:23" x14ac:dyDescent="0.3">
      <c r="K187" s="7"/>
      <c r="M187" s="7"/>
      <c r="N187" s="7"/>
      <c r="U187" s="9"/>
    </row>
    <row r="188" spans="9:23" x14ac:dyDescent="0.3">
      <c r="K188" s="7"/>
      <c r="M188" s="7"/>
      <c r="N188" s="7"/>
      <c r="U188" s="9"/>
    </row>
    <row r="189" spans="9:23" x14ac:dyDescent="0.3">
      <c r="I189" s="8"/>
      <c r="K189" s="7"/>
      <c r="M189" s="7"/>
      <c r="N189" s="7"/>
      <c r="T189" s="8"/>
      <c r="U189" s="9"/>
      <c r="V189" s="8"/>
      <c r="W189" s="8"/>
    </row>
    <row r="190" spans="9:23" x14ac:dyDescent="0.3">
      <c r="I190" s="8"/>
      <c r="K190" s="7"/>
      <c r="M190" s="7"/>
      <c r="N190" s="7"/>
      <c r="T190" s="8"/>
      <c r="U190" s="9"/>
      <c r="V190" s="6"/>
      <c r="W190" s="8"/>
    </row>
    <row r="191" spans="9:23" x14ac:dyDescent="0.3">
      <c r="I191" s="8"/>
      <c r="K191" s="7"/>
      <c r="M191" s="7"/>
      <c r="N191" s="7"/>
      <c r="T191" s="8"/>
      <c r="U191" s="9"/>
      <c r="V191" s="6"/>
      <c r="W191" s="8"/>
    </row>
    <row r="192" spans="9:23" x14ac:dyDescent="0.3">
      <c r="I192" s="8"/>
      <c r="K192" s="7"/>
      <c r="M192" s="7"/>
      <c r="N192" s="7"/>
      <c r="T192" s="8"/>
      <c r="U192" s="9"/>
      <c r="V192" s="6"/>
      <c r="W192" s="8"/>
    </row>
    <row r="193" spans="5:23" x14ac:dyDescent="0.3">
      <c r="I193" s="8"/>
      <c r="K193" s="7"/>
      <c r="M193" s="7"/>
      <c r="N193" s="7"/>
      <c r="T193" s="8"/>
      <c r="U193" s="9"/>
      <c r="V193" s="6"/>
      <c r="W193" s="8"/>
    </row>
    <row r="194" spans="5:23" x14ac:dyDescent="0.3">
      <c r="I194" s="8"/>
      <c r="K194" s="7"/>
      <c r="M194" s="7"/>
      <c r="N194" s="7"/>
      <c r="T194" s="8"/>
      <c r="U194" s="9"/>
      <c r="V194" s="6"/>
      <c r="W194" s="8"/>
    </row>
    <row r="195" spans="5:23" x14ac:dyDescent="0.3">
      <c r="I195" s="8"/>
      <c r="K195" s="7"/>
      <c r="M195" s="7"/>
      <c r="N195" s="7"/>
      <c r="T195" s="8"/>
      <c r="U195" s="9"/>
      <c r="V195" s="6"/>
      <c r="W195" s="8"/>
    </row>
    <row r="196" spans="5:23" x14ac:dyDescent="0.3">
      <c r="I196" s="8"/>
      <c r="K196" s="7"/>
      <c r="M196" s="7"/>
      <c r="N196" s="7"/>
      <c r="T196" s="8"/>
      <c r="U196" s="9"/>
      <c r="V196" s="6"/>
      <c r="W196" s="8"/>
    </row>
    <row r="197" spans="5:23" x14ac:dyDescent="0.3">
      <c r="I197" s="8"/>
      <c r="K197" s="7"/>
      <c r="M197" s="7"/>
      <c r="N197" s="7"/>
      <c r="T197" s="8"/>
      <c r="U197" s="9"/>
      <c r="V197" s="6"/>
      <c r="W197" s="8"/>
    </row>
    <row r="198" spans="5:23" x14ac:dyDescent="0.3">
      <c r="E198" s="8"/>
      <c r="F198" s="8"/>
      <c r="I198" s="8"/>
      <c r="K198" s="7"/>
      <c r="M198" s="7"/>
      <c r="N198" s="7"/>
      <c r="T198" s="8"/>
      <c r="U198" s="9"/>
      <c r="V198" s="6"/>
      <c r="W198" s="8"/>
    </row>
    <row r="199" spans="5:23" x14ac:dyDescent="0.3">
      <c r="E199" s="8"/>
      <c r="F199" s="8"/>
      <c r="I199" s="8"/>
      <c r="K199" s="7"/>
      <c r="M199" s="7"/>
      <c r="N199" s="7"/>
      <c r="T199" s="8"/>
      <c r="U199" s="9"/>
      <c r="V199" s="6"/>
      <c r="W199" s="8"/>
    </row>
    <row r="200" spans="5:23" x14ac:dyDescent="0.3">
      <c r="E200" s="8"/>
      <c r="F200" s="8"/>
      <c r="I200" s="8"/>
      <c r="K200" s="7"/>
      <c r="M200" s="7"/>
      <c r="N200" s="7"/>
      <c r="T200" s="8"/>
      <c r="U200" s="9"/>
      <c r="V200" s="6"/>
      <c r="W200" s="8"/>
    </row>
    <row r="201" spans="5:23" x14ac:dyDescent="0.3">
      <c r="E201" s="8"/>
      <c r="F201" s="8"/>
      <c r="I201" s="8"/>
      <c r="K201" s="7"/>
      <c r="M201" s="7"/>
      <c r="N201" s="7"/>
      <c r="Q201" s="6"/>
      <c r="T201" s="8"/>
      <c r="U201" s="9"/>
      <c r="V201" s="6"/>
      <c r="W201" s="8"/>
    </row>
    <row r="202" spans="5:23" x14ac:dyDescent="0.3">
      <c r="E202" s="8"/>
      <c r="F202" s="8"/>
      <c r="I202" s="8"/>
      <c r="K202" s="7"/>
      <c r="M202" s="7"/>
      <c r="N202" s="7"/>
      <c r="Q202" s="6"/>
      <c r="T202" s="8"/>
      <c r="U202" s="9"/>
      <c r="V202" s="6"/>
      <c r="W202" s="8"/>
    </row>
    <row r="203" spans="5:23" x14ac:dyDescent="0.3">
      <c r="I203" s="8"/>
      <c r="K203" s="7"/>
      <c r="M203" s="7"/>
      <c r="N203" s="7"/>
      <c r="Q203" s="6"/>
      <c r="T203" s="8"/>
      <c r="U203" s="9"/>
      <c r="V203" s="6"/>
      <c r="W203" s="8"/>
    </row>
    <row r="204" spans="5:23" x14ac:dyDescent="0.3">
      <c r="I204" s="8"/>
      <c r="K204" s="7"/>
      <c r="M204" s="7"/>
      <c r="N204" s="7"/>
      <c r="Q204" s="6"/>
      <c r="T204" s="8"/>
      <c r="U204" s="9"/>
      <c r="V204" s="6"/>
      <c r="W204" s="8"/>
    </row>
    <row r="205" spans="5:23" x14ac:dyDescent="0.3">
      <c r="I205" s="8"/>
      <c r="K205" s="7"/>
      <c r="M205" s="7"/>
      <c r="N205" s="7"/>
      <c r="Q205" s="6"/>
      <c r="T205" s="8"/>
      <c r="U205" s="9"/>
      <c r="V205" s="6"/>
      <c r="W205" s="8"/>
    </row>
    <row r="206" spans="5:23" x14ac:dyDescent="0.3">
      <c r="I206" s="8"/>
      <c r="K206" s="7"/>
      <c r="M206" s="7"/>
      <c r="N206" s="7"/>
      <c r="T206" s="8"/>
      <c r="U206" s="6"/>
      <c r="V206" s="6"/>
      <c r="W206" s="8"/>
    </row>
    <row r="207" spans="5:23" x14ac:dyDescent="0.3">
      <c r="I207" s="8"/>
      <c r="K207" s="7"/>
      <c r="M207" s="7"/>
      <c r="N207" s="7"/>
      <c r="T207" s="8"/>
      <c r="U207" s="6"/>
      <c r="V207" s="6"/>
      <c r="W207" s="8"/>
    </row>
    <row r="208" spans="5:23" x14ac:dyDescent="0.3">
      <c r="I208" s="8"/>
      <c r="K208" s="7"/>
      <c r="M208" s="7"/>
      <c r="N208" s="7"/>
      <c r="T208" s="8"/>
      <c r="U208" s="6"/>
      <c r="V208" s="6"/>
      <c r="W208" s="8"/>
    </row>
    <row r="209" spans="1:23" x14ac:dyDescent="0.3">
      <c r="A209" s="8"/>
      <c r="C209" s="8"/>
      <c r="D209" s="8"/>
      <c r="E209" s="8"/>
      <c r="F209" s="8"/>
      <c r="G209" s="8"/>
      <c r="I209" s="3"/>
      <c r="K209" s="7"/>
      <c r="M209" s="7"/>
      <c r="N209" s="7"/>
      <c r="T209" s="3"/>
      <c r="U209" s="6"/>
      <c r="V209" s="3"/>
      <c r="W209" s="3"/>
    </row>
    <row r="210" spans="1:23" x14ac:dyDescent="0.3">
      <c r="A210" s="6"/>
      <c r="C210" s="6"/>
      <c r="D210" s="6"/>
      <c r="E210" s="6"/>
      <c r="F210" s="6"/>
      <c r="G210" s="6"/>
      <c r="I210" s="6"/>
      <c r="K210" s="7"/>
      <c r="M210" s="7"/>
      <c r="N210" s="7"/>
      <c r="T210" s="6"/>
      <c r="U210" s="6"/>
      <c r="V210" s="6"/>
      <c r="W210" s="6"/>
    </row>
    <row r="211" spans="1:23" x14ac:dyDescent="0.3">
      <c r="A211" s="6"/>
      <c r="C211" s="6"/>
      <c r="D211" s="6"/>
      <c r="E211" s="6"/>
      <c r="F211" s="6"/>
      <c r="G211" s="6"/>
      <c r="I211" s="6"/>
      <c r="K211" s="7"/>
      <c r="M211" s="7"/>
      <c r="N211" s="7"/>
      <c r="T211" s="6"/>
      <c r="U211" s="6"/>
      <c r="V211" s="6"/>
      <c r="W211" s="6"/>
    </row>
  </sheetData>
  <scenarios current="0">
    <scenario name="scenario 1" count="1" user="Adrie Straathof" comment="Created by Adrie Straathof on 12/27/2021">
      <inputCells r="T27" val="0.971533572727771"/>
    </scenario>
  </scenario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7"/>
  <sheetViews>
    <sheetView workbookViewId="0">
      <selection activeCell="K162" sqref="K162"/>
    </sheetView>
  </sheetViews>
  <sheetFormatPr defaultRowHeight="14.4" x14ac:dyDescent="0.3"/>
  <sheetData>
    <row r="1" spans="1:32" x14ac:dyDescent="0.3">
      <c r="A1" t="s">
        <v>199</v>
      </c>
      <c r="B1" t="s">
        <v>200</v>
      </c>
    </row>
    <row r="3" spans="1:32" x14ac:dyDescent="0.3">
      <c r="A3" t="s">
        <v>112</v>
      </c>
    </row>
    <row r="4" spans="1:32" x14ac:dyDescent="0.3">
      <c r="A4" t="s">
        <v>111</v>
      </c>
      <c r="B4">
        <v>1</v>
      </c>
      <c r="D4" t="s">
        <v>8</v>
      </c>
      <c r="E4">
        <f>12*B4+B5+14*B6+16*B7</f>
        <v>24.6</v>
      </c>
      <c r="F4" t="s">
        <v>109</v>
      </c>
    </row>
    <row r="5" spans="1:32" x14ac:dyDescent="0.3">
      <c r="A5" t="s">
        <v>113</v>
      </c>
      <c r="B5">
        <v>1.8</v>
      </c>
      <c r="D5" t="s">
        <v>116</v>
      </c>
      <c r="E5">
        <f>4*B4+B5-3*B6-2*B7</f>
        <v>4.1999999999999993</v>
      </c>
    </row>
    <row r="6" spans="1:32" x14ac:dyDescent="0.3">
      <c r="A6" t="s">
        <v>114</v>
      </c>
      <c r="B6">
        <v>0.2</v>
      </c>
      <c r="R6" t="s">
        <v>121</v>
      </c>
    </row>
    <row r="7" spans="1:32" x14ac:dyDescent="0.3">
      <c r="A7" t="s">
        <v>115</v>
      </c>
      <c r="B7">
        <v>0.5</v>
      </c>
      <c r="R7" t="s">
        <v>122</v>
      </c>
    </row>
    <row r="10" spans="1:32" x14ac:dyDescent="0.3">
      <c r="A10" t="s">
        <v>102</v>
      </c>
      <c r="B10" t="s">
        <v>103</v>
      </c>
      <c r="C10" t="s">
        <v>103</v>
      </c>
      <c r="D10" t="s">
        <v>104</v>
      </c>
      <c r="E10" t="s">
        <v>104</v>
      </c>
      <c r="F10" t="s">
        <v>105</v>
      </c>
      <c r="G10" t="s">
        <v>105</v>
      </c>
      <c r="H10" t="s">
        <v>106</v>
      </c>
      <c r="I10" t="s">
        <v>106</v>
      </c>
      <c r="J10" t="s">
        <v>107</v>
      </c>
      <c r="K10" t="s">
        <v>108</v>
      </c>
      <c r="L10" t="s">
        <v>44</v>
      </c>
      <c r="N10" t="s">
        <v>119</v>
      </c>
      <c r="O10" t="s">
        <v>117</v>
      </c>
      <c r="R10" t="s">
        <v>120</v>
      </c>
      <c r="AA10" t="s">
        <v>102</v>
      </c>
      <c r="AB10" t="s">
        <v>105</v>
      </c>
      <c r="AC10" t="s">
        <v>150</v>
      </c>
      <c r="AE10" t="s">
        <v>151</v>
      </c>
      <c r="AF10" t="s">
        <v>150</v>
      </c>
    </row>
    <row r="11" spans="1:32" s="2" customFormat="1" x14ac:dyDescent="0.3">
      <c r="A11" s="2" t="s">
        <v>6</v>
      </c>
      <c r="B11" s="2" t="s">
        <v>1</v>
      </c>
      <c r="C11" s="2" t="s">
        <v>2</v>
      </c>
      <c r="D11" s="2" t="s">
        <v>1</v>
      </c>
      <c r="E11" s="2" t="s">
        <v>2</v>
      </c>
      <c r="F11" s="2" t="s">
        <v>1</v>
      </c>
      <c r="G11" s="2" t="s">
        <v>2</v>
      </c>
      <c r="H11" s="2" t="s">
        <v>1</v>
      </c>
      <c r="I11" s="2" t="s">
        <v>2</v>
      </c>
      <c r="J11" s="2" t="s">
        <v>1</v>
      </c>
      <c r="K11" s="2" t="s">
        <v>2</v>
      </c>
      <c r="L11" s="2" t="s">
        <v>110</v>
      </c>
      <c r="N11" s="2" t="s">
        <v>118</v>
      </c>
      <c r="O11" s="2" t="s">
        <v>118</v>
      </c>
      <c r="AA11" s="2" t="s">
        <v>6</v>
      </c>
      <c r="AB11" s="2" t="s">
        <v>1</v>
      </c>
      <c r="AC11" s="2" t="s">
        <v>147</v>
      </c>
      <c r="AE11" s="2" t="s">
        <v>6</v>
      </c>
      <c r="AF11" s="2" t="s">
        <v>147</v>
      </c>
    </row>
    <row r="12" spans="1:32" x14ac:dyDescent="0.3">
      <c r="A12">
        <v>8.4000000000000005E-2</v>
      </c>
      <c r="B12">
        <v>5.3999999999999999E-2</v>
      </c>
      <c r="C12">
        <f>B12/180</f>
        <v>2.9999999999999997E-4</v>
      </c>
      <c r="D12">
        <v>21.5</v>
      </c>
      <c r="E12">
        <f>D12/180</f>
        <v>0.11944444444444445</v>
      </c>
      <c r="F12">
        <v>7.97</v>
      </c>
      <c r="G12">
        <f>F12/46</f>
        <v>0.17326086956521738</v>
      </c>
      <c r="H12">
        <v>0</v>
      </c>
      <c r="I12">
        <f>H12/46</f>
        <v>0</v>
      </c>
      <c r="J12">
        <v>2</v>
      </c>
      <c r="K12">
        <f>J12/$E$4</f>
        <v>8.1300813008130079E-2</v>
      </c>
      <c r="L12">
        <f t="shared" ref="L12:L30" si="0">((G12-I12)*12+K12*$E$5)/((E12-C12)*24)</f>
        <v>0.84651934489534919</v>
      </c>
      <c r="N12">
        <f t="shared" ref="N12:N30" si="1">(C12-E12)/K12*A12</f>
        <v>-0.12310004000000002</v>
      </c>
      <c r="O12">
        <f t="shared" ref="O12:O30" si="2">(G12-I12)/J12*A12</f>
        <v>7.2769565217391304E-3</v>
      </c>
      <c r="R12">
        <f>((G12-I12)*12+K12*$E$5+0.3*K12*(12+8-6))/((E12-C12)*24)</f>
        <v>0.9659344157596641</v>
      </c>
      <c r="AA12">
        <v>8.4000000000000005E-2</v>
      </c>
      <c r="AB12">
        <v>7.97</v>
      </c>
      <c r="AC12">
        <f>AA12*AB12</f>
        <v>0.66948000000000008</v>
      </c>
      <c r="AE12">
        <f>AA12</f>
        <v>8.4000000000000005E-2</v>
      </c>
      <c r="AF12">
        <f>AA12*AB12</f>
        <v>0.66948000000000008</v>
      </c>
    </row>
    <row r="13" spans="1:32" x14ac:dyDescent="0.3">
      <c r="A13">
        <v>8.4000000000000005E-2</v>
      </c>
      <c r="B13">
        <v>9.6000000000000002E-2</v>
      </c>
      <c r="C13">
        <f t="shared" ref="C13:C30" si="3">B13/180</f>
        <v>5.3333333333333336E-4</v>
      </c>
      <c r="D13">
        <v>19.5</v>
      </c>
      <c r="E13">
        <f t="shared" ref="E13:E30" si="4">D13/180</f>
        <v>0.10833333333333334</v>
      </c>
      <c r="F13">
        <v>13.7</v>
      </c>
      <c r="G13">
        <f t="shared" ref="G13:G30" si="5">F13/46</f>
        <v>0.29782608695652174</v>
      </c>
      <c r="H13">
        <v>7.86</v>
      </c>
      <c r="I13">
        <f t="shared" ref="I13:I30" si="6">H13/46</f>
        <v>0.1708695652173913</v>
      </c>
      <c r="J13">
        <v>2.2200000000000002</v>
      </c>
      <c r="K13">
        <f t="shared" ref="K13:K30" si="7">J13/$E$4</f>
        <v>9.0243902439024387E-2</v>
      </c>
      <c r="L13">
        <f t="shared" si="0"/>
        <v>0.73535198326896556</v>
      </c>
      <c r="N13">
        <f t="shared" si="1"/>
        <v>-0.10034140540540543</v>
      </c>
      <c r="O13">
        <f t="shared" si="2"/>
        <v>4.803760282021151E-3</v>
      </c>
      <c r="R13">
        <f t="shared" ref="R13:R30" si="8">((G13-I13)*12+K13*$E$5+0.3*K13*(12+8-6))/((E13-C13)*24)</f>
        <v>0.88185182489075831</v>
      </c>
      <c r="AA13">
        <v>8.4000000000000005E-2</v>
      </c>
      <c r="AB13">
        <v>13.7</v>
      </c>
      <c r="AC13">
        <f t="shared" ref="AC13:AC30" si="9">AA13*AB13</f>
        <v>1.1508</v>
      </c>
      <c r="AE13">
        <f t="shared" ref="AE13:AE30" si="10">AA13</f>
        <v>8.4000000000000005E-2</v>
      </c>
      <c r="AF13">
        <f t="shared" ref="AF13:AF30" si="11">AA13*AB13</f>
        <v>1.1508</v>
      </c>
    </row>
    <row r="14" spans="1:32" x14ac:dyDescent="0.3">
      <c r="A14">
        <v>8.4000000000000005E-2</v>
      </c>
      <c r="B14">
        <v>0.122</v>
      </c>
      <c r="C14">
        <f t="shared" si="3"/>
        <v>6.777777777777778E-4</v>
      </c>
      <c r="D14">
        <v>19.899999999999999</v>
      </c>
      <c r="E14">
        <f t="shared" si="4"/>
        <v>0.11055555555555555</v>
      </c>
      <c r="F14">
        <v>21.3</v>
      </c>
      <c r="G14">
        <f t="shared" si="5"/>
        <v>0.46304347826086956</v>
      </c>
      <c r="H14">
        <v>15.1</v>
      </c>
      <c r="I14">
        <f t="shared" si="6"/>
        <v>0.32826086956521738</v>
      </c>
      <c r="J14">
        <v>2.0499999999999998</v>
      </c>
      <c r="K14">
        <f t="shared" si="7"/>
        <v>8.3333333333333315E-2</v>
      </c>
      <c r="L14">
        <f t="shared" si="0"/>
        <v>0.74605292661587086</v>
      </c>
      <c r="N14">
        <f t="shared" si="1"/>
        <v>-0.11075680000000003</v>
      </c>
      <c r="O14">
        <f t="shared" si="2"/>
        <v>5.5227995758218452E-3</v>
      </c>
      <c r="R14">
        <f t="shared" si="8"/>
        <v>0.87877615444477164</v>
      </c>
      <c r="AA14">
        <v>8.4000000000000005E-2</v>
      </c>
      <c r="AB14">
        <v>21.3</v>
      </c>
      <c r="AC14">
        <f t="shared" si="9"/>
        <v>1.7892000000000001</v>
      </c>
      <c r="AE14">
        <f t="shared" si="10"/>
        <v>8.4000000000000005E-2</v>
      </c>
      <c r="AF14">
        <f t="shared" si="11"/>
        <v>1.7892000000000001</v>
      </c>
    </row>
    <row r="15" spans="1:32" x14ac:dyDescent="0.3">
      <c r="A15">
        <v>8.4000000000000005E-2</v>
      </c>
      <c r="B15">
        <v>0.127</v>
      </c>
      <c r="C15">
        <f t="shared" si="3"/>
        <v>7.0555555555555551E-4</v>
      </c>
      <c r="D15">
        <v>20.5</v>
      </c>
      <c r="E15">
        <f t="shared" si="4"/>
        <v>0.11388888888888889</v>
      </c>
      <c r="F15">
        <v>28.4</v>
      </c>
      <c r="G15">
        <f t="shared" si="5"/>
        <v>0.61739130434782608</v>
      </c>
      <c r="H15">
        <v>21.9</v>
      </c>
      <c r="I15">
        <f t="shared" si="6"/>
        <v>0.4760869565217391</v>
      </c>
      <c r="J15">
        <v>2.08</v>
      </c>
      <c r="K15">
        <f t="shared" si="7"/>
        <v>8.4552845528455281E-2</v>
      </c>
      <c r="L15">
        <f t="shared" si="0"/>
        <v>0.7549602875616831</v>
      </c>
      <c r="N15">
        <f t="shared" si="1"/>
        <v>-0.11244328846153848</v>
      </c>
      <c r="O15">
        <f t="shared" si="2"/>
        <v>5.7065217391304357E-3</v>
      </c>
      <c r="R15">
        <f t="shared" si="8"/>
        <v>0.88569285685174048</v>
      </c>
      <c r="AA15">
        <v>8.4000000000000005E-2</v>
      </c>
      <c r="AB15">
        <v>28.4</v>
      </c>
      <c r="AC15">
        <f t="shared" si="9"/>
        <v>2.3856000000000002</v>
      </c>
      <c r="AE15">
        <f t="shared" si="10"/>
        <v>8.4000000000000005E-2</v>
      </c>
      <c r="AF15">
        <f t="shared" si="11"/>
        <v>2.3856000000000002</v>
      </c>
    </row>
    <row r="16" spans="1:32" x14ac:dyDescent="0.3">
      <c r="A16">
        <v>8.4000000000000005E-2</v>
      </c>
      <c r="B16">
        <v>0.11799999999999999</v>
      </c>
      <c r="C16">
        <f t="shared" si="3"/>
        <v>6.5555555555555549E-4</v>
      </c>
      <c r="D16">
        <v>20.9</v>
      </c>
      <c r="E16">
        <f t="shared" si="4"/>
        <v>0.11611111111111111</v>
      </c>
      <c r="F16">
        <v>42.7</v>
      </c>
      <c r="G16">
        <f t="shared" si="5"/>
        <v>0.92826086956521747</v>
      </c>
      <c r="H16">
        <v>36.9</v>
      </c>
      <c r="I16">
        <f t="shared" si="6"/>
        <v>0.80217391304347818</v>
      </c>
      <c r="J16">
        <v>2.12</v>
      </c>
      <c r="K16">
        <f t="shared" si="7"/>
        <v>8.6178861788617889E-2</v>
      </c>
      <c r="L16">
        <f t="shared" si="0"/>
        <v>0.67666539473092091</v>
      </c>
      <c r="N16">
        <f t="shared" si="1"/>
        <v>-0.11253649056603772</v>
      </c>
      <c r="O16">
        <f t="shared" si="2"/>
        <v>4.9958982772764626E-3</v>
      </c>
      <c r="R16">
        <f t="shared" si="8"/>
        <v>0.80728969202384093</v>
      </c>
      <c r="AA16">
        <v>8.4000000000000005E-2</v>
      </c>
      <c r="AB16">
        <v>42.7</v>
      </c>
      <c r="AC16">
        <f t="shared" si="9"/>
        <v>3.5868000000000007</v>
      </c>
      <c r="AE16">
        <f t="shared" si="10"/>
        <v>8.4000000000000005E-2</v>
      </c>
      <c r="AF16">
        <f t="shared" si="11"/>
        <v>3.5868000000000007</v>
      </c>
    </row>
    <row r="17" spans="1:32" x14ac:dyDescent="0.3">
      <c r="A17">
        <v>8.4000000000000005E-2</v>
      </c>
      <c r="B17">
        <v>0.21199999999999999</v>
      </c>
      <c r="C17">
        <f t="shared" si="3"/>
        <v>1.1777777777777778E-3</v>
      </c>
      <c r="D17">
        <v>20.5</v>
      </c>
      <c r="E17">
        <f t="shared" si="4"/>
        <v>0.11388888888888889</v>
      </c>
      <c r="F17">
        <v>57</v>
      </c>
      <c r="G17">
        <f t="shared" si="5"/>
        <v>1.2391304347826086</v>
      </c>
      <c r="H17">
        <v>53.3</v>
      </c>
      <c r="I17">
        <f t="shared" si="6"/>
        <v>1.1586956521739129</v>
      </c>
      <c r="J17">
        <v>1.87</v>
      </c>
      <c r="K17">
        <f t="shared" si="7"/>
        <v>7.6016260162601629E-2</v>
      </c>
      <c r="L17">
        <f t="shared" si="0"/>
        <v>0.4748443725307851</v>
      </c>
      <c r="N17">
        <f t="shared" si="1"/>
        <v>-0.12454879144385027</v>
      </c>
      <c r="O17">
        <f t="shared" si="2"/>
        <v>3.6131132294815204E-3</v>
      </c>
      <c r="R17">
        <f t="shared" si="8"/>
        <v>0.5928704073849822</v>
      </c>
      <c r="AA17">
        <v>8.4000000000000005E-2</v>
      </c>
      <c r="AB17">
        <v>57</v>
      </c>
      <c r="AC17">
        <f t="shared" si="9"/>
        <v>4.7880000000000003</v>
      </c>
      <c r="AE17">
        <f t="shared" si="10"/>
        <v>8.4000000000000005E-2</v>
      </c>
      <c r="AF17">
        <f t="shared" si="11"/>
        <v>4.7880000000000003</v>
      </c>
    </row>
    <row r="18" spans="1:32" x14ac:dyDescent="0.3">
      <c r="A18">
        <v>0.1</v>
      </c>
      <c r="B18">
        <v>7.9000000000000001E-2</v>
      </c>
      <c r="C18">
        <f t="shared" si="3"/>
        <v>4.3888888888888889E-4</v>
      </c>
      <c r="D18">
        <v>10.9</v>
      </c>
      <c r="E18">
        <f t="shared" si="4"/>
        <v>6.0555555555555557E-2</v>
      </c>
      <c r="F18">
        <v>4.7</v>
      </c>
      <c r="G18">
        <f t="shared" si="5"/>
        <v>0.10217391304347827</v>
      </c>
      <c r="H18">
        <v>0</v>
      </c>
      <c r="I18">
        <f t="shared" si="6"/>
        <v>0</v>
      </c>
      <c r="J18">
        <v>1.2</v>
      </c>
      <c r="K18">
        <f t="shared" si="7"/>
        <v>4.8780487804878044E-2</v>
      </c>
      <c r="L18">
        <f t="shared" si="0"/>
        <v>0.99179720356406076</v>
      </c>
      <c r="N18">
        <f t="shared" si="1"/>
        <v>-0.12323916666666668</v>
      </c>
      <c r="O18">
        <f t="shared" si="2"/>
        <v>8.5144927536231884E-3</v>
      </c>
      <c r="R18">
        <f t="shared" si="8"/>
        <v>1.1337975146123611</v>
      </c>
      <c r="AA18">
        <v>0.1</v>
      </c>
      <c r="AB18">
        <v>4.7</v>
      </c>
      <c r="AC18">
        <f t="shared" si="9"/>
        <v>0.47000000000000003</v>
      </c>
      <c r="AE18">
        <f t="shared" si="10"/>
        <v>0.1</v>
      </c>
      <c r="AF18">
        <f t="shared" si="11"/>
        <v>0.47000000000000003</v>
      </c>
    </row>
    <row r="19" spans="1:32" x14ac:dyDescent="0.3">
      <c r="A19">
        <v>0.1</v>
      </c>
      <c r="B19">
        <v>9.0999999999999998E-2</v>
      </c>
      <c r="C19">
        <f t="shared" si="3"/>
        <v>5.0555555555555553E-4</v>
      </c>
      <c r="D19">
        <v>9.99</v>
      </c>
      <c r="E19">
        <f t="shared" si="4"/>
        <v>5.5500000000000001E-2</v>
      </c>
      <c r="F19">
        <v>19.3</v>
      </c>
      <c r="G19">
        <f t="shared" si="5"/>
        <v>0.41956521739130437</v>
      </c>
      <c r="H19">
        <v>15.5</v>
      </c>
      <c r="I19">
        <f t="shared" si="6"/>
        <v>0.33695652173913043</v>
      </c>
      <c r="J19">
        <v>1.37</v>
      </c>
      <c r="K19">
        <f t="shared" si="7"/>
        <v>5.5691056910569109E-2</v>
      </c>
      <c r="L19">
        <f t="shared" si="0"/>
        <v>0.92828072546505525</v>
      </c>
      <c r="N19">
        <f t="shared" si="1"/>
        <v>-9.8749148418491473E-2</v>
      </c>
      <c r="O19">
        <f t="shared" si="2"/>
        <v>6.0298317994287544E-3</v>
      </c>
      <c r="R19">
        <f t="shared" si="8"/>
        <v>1.1054974435863734</v>
      </c>
      <c r="AA19">
        <v>0.1</v>
      </c>
      <c r="AB19">
        <v>19.3</v>
      </c>
      <c r="AC19">
        <f t="shared" si="9"/>
        <v>1.9300000000000002</v>
      </c>
      <c r="AE19">
        <f t="shared" si="10"/>
        <v>0.1</v>
      </c>
      <c r="AF19">
        <f t="shared" si="11"/>
        <v>1.9300000000000002</v>
      </c>
    </row>
    <row r="20" spans="1:32" x14ac:dyDescent="0.3">
      <c r="A20">
        <v>0.1</v>
      </c>
      <c r="B20">
        <v>0.114</v>
      </c>
      <c r="C20">
        <f t="shared" si="3"/>
        <v>6.333333333333334E-4</v>
      </c>
      <c r="D20">
        <v>9.58</v>
      </c>
      <c r="E20">
        <f t="shared" si="4"/>
        <v>5.3222222222222219E-2</v>
      </c>
      <c r="F20">
        <v>33.4</v>
      </c>
      <c r="G20">
        <f t="shared" si="5"/>
        <v>0.72608695652173905</v>
      </c>
      <c r="H20">
        <v>30.4</v>
      </c>
      <c r="I20">
        <f t="shared" si="6"/>
        <v>0.66086956521739126</v>
      </c>
      <c r="J20">
        <v>1.4</v>
      </c>
      <c r="K20">
        <f t="shared" si="7"/>
        <v>5.6910569105691047E-2</v>
      </c>
      <c r="L20">
        <f t="shared" si="0"/>
        <v>0.80944941308055873</v>
      </c>
      <c r="N20">
        <f t="shared" si="1"/>
        <v>-9.2406190476190489E-2</v>
      </c>
      <c r="O20">
        <f t="shared" si="2"/>
        <v>4.6583850931676994E-3</v>
      </c>
      <c r="R20">
        <f t="shared" si="8"/>
        <v>0.99883066459432035</v>
      </c>
      <c r="AA20">
        <v>0.1</v>
      </c>
      <c r="AB20">
        <v>33.4</v>
      </c>
      <c r="AC20">
        <f t="shared" si="9"/>
        <v>3.34</v>
      </c>
      <c r="AE20">
        <f t="shared" si="10"/>
        <v>0.1</v>
      </c>
      <c r="AF20">
        <f t="shared" si="11"/>
        <v>3.34</v>
      </c>
    </row>
    <row r="21" spans="1:32" x14ac:dyDescent="0.3">
      <c r="A21">
        <v>0.1</v>
      </c>
      <c r="B21">
        <v>0.115</v>
      </c>
      <c r="C21">
        <f t="shared" si="3"/>
        <v>6.3888888888888893E-4</v>
      </c>
      <c r="D21">
        <v>10.7</v>
      </c>
      <c r="E21">
        <f t="shared" si="4"/>
        <v>5.9444444444444439E-2</v>
      </c>
      <c r="F21">
        <v>51.5</v>
      </c>
      <c r="G21">
        <f t="shared" si="5"/>
        <v>1.1195652173913044</v>
      </c>
      <c r="H21">
        <v>48.3</v>
      </c>
      <c r="I21">
        <f t="shared" si="6"/>
        <v>1.05</v>
      </c>
      <c r="J21">
        <v>1.22</v>
      </c>
      <c r="K21">
        <f t="shared" si="7"/>
        <v>4.9593495934959347E-2</v>
      </c>
      <c r="L21">
        <f t="shared" si="0"/>
        <v>0.7390708254292504</v>
      </c>
      <c r="N21">
        <f t="shared" si="1"/>
        <v>-0.11857513661202186</v>
      </c>
      <c r="O21">
        <f t="shared" si="2"/>
        <v>5.7020669992872454E-3</v>
      </c>
      <c r="R21">
        <f t="shared" si="8"/>
        <v>0.88665657148038124</v>
      </c>
      <c r="AA21">
        <v>0.1</v>
      </c>
      <c r="AB21">
        <v>51.5</v>
      </c>
      <c r="AC21">
        <f t="shared" si="9"/>
        <v>5.15</v>
      </c>
      <c r="AE21">
        <f t="shared" si="10"/>
        <v>0.1</v>
      </c>
      <c r="AF21">
        <f t="shared" si="11"/>
        <v>5.15</v>
      </c>
    </row>
    <row r="22" spans="1:32" x14ac:dyDescent="0.3">
      <c r="A22">
        <v>0.16</v>
      </c>
      <c r="B22">
        <v>0.13800000000000001</v>
      </c>
      <c r="C22">
        <f t="shared" si="3"/>
        <v>7.6666666666666669E-4</v>
      </c>
      <c r="D22">
        <v>21.2</v>
      </c>
      <c r="E22">
        <f t="shared" si="4"/>
        <v>0.11777777777777777</v>
      </c>
      <c r="F22">
        <v>8.57</v>
      </c>
      <c r="G22">
        <f t="shared" si="5"/>
        <v>0.18630434782608696</v>
      </c>
      <c r="H22">
        <v>0</v>
      </c>
      <c r="I22">
        <f t="shared" si="6"/>
        <v>0</v>
      </c>
      <c r="J22">
        <v>2.4</v>
      </c>
      <c r="K22">
        <f t="shared" si="7"/>
        <v>9.7560975609756087E-2</v>
      </c>
      <c r="L22">
        <f t="shared" si="0"/>
        <v>0.94200750337361805</v>
      </c>
      <c r="N22">
        <f t="shared" si="1"/>
        <v>-0.19189822222222222</v>
      </c>
      <c r="O22">
        <f t="shared" si="2"/>
        <v>1.2420289855072464E-2</v>
      </c>
      <c r="R22">
        <f t="shared" si="8"/>
        <v>1.0879181828773365</v>
      </c>
      <c r="AA22">
        <v>0.16</v>
      </c>
      <c r="AB22">
        <v>8.57</v>
      </c>
      <c r="AC22">
        <f t="shared" si="9"/>
        <v>1.3712</v>
      </c>
      <c r="AE22">
        <f t="shared" si="10"/>
        <v>0.16</v>
      </c>
      <c r="AF22">
        <f t="shared" si="11"/>
        <v>1.3712</v>
      </c>
    </row>
    <row r="23" spans="1:32" x14ac:dyDescent="0.3">
      <c r="A23">
        <v>0.16</v>
      </c>
      <c r="B23">
        <v>0.19400000000000001</v>
      </c>
      <c r="C23">
        <f t="shared" si="3"/>
        <v>1.0777777777777778E-3</v>
      </c>
      <c r="D23">
        <v>21.1</v>
      </c>
      <c r="E23">
        <f t="shared" si="4"/>
        <v>0.11722222222222223</v>
      </c>
      <c r="F23">
        <v>22.7</v>
      </c>
      <c r="G23">
        <f t="shared" si="5"/>
        <v>0.4934782608695652</v>
      </c>
      <c r="H23">
        <v>15.3</v>
      </c>
      <c r="I23">
        <f t="shared" si="6"/>
        <v>0.33260869565217394</v>
      </c>
      <c r="J23">
        <v>2.4300000000000002</v>
      </c>
      <c r="K23">
        <f t="shared" si="7"/>
        <v>9.8780487804878053E-2</v>
      </c>
      <c r="L23">
        <f t="shared" si="0"/>
        <v>0.84137789320859424</v>
      </c>
      <c r="N23">
        <f t="shared" si="1"/>
        <v>-0.18812532235939647</v>
      </c>
      <c r="O23">
        <f t="shared" si="2"/>
        <v>1.0592234746824117E-2</v>
      </c>
      <c r="R23">
        <f t="shared" si="8"/>
        <v>0.99021484747309529</v>
      </c>
      <c r="AA23">
        <v>0.16</v>
      </c>
      <c r="AB23">
        <v>22.7</v>
      </c>
      <c r="AC23">
        <f t="shared" si="9"/>
        <v>3.6320000000000001</v>
      </c>
      <c r="AE23">
        <f t="shared" si="10"/>
        <v>0.16</v>
      </c>
      <c r="AF23">
        <f t="shared" si="11"/>
        <v>3.6320000000000001</v>
      </c>
    </row>
    <row r="24" spans="1:32" x14ac:dyDescent="0.3">
      <c r="A24">
        <v>0.16</v>
      </c>
      <c r="B24">
        <v>0.32600000000000001</v>
      </c>
      <c r="C24">
        <f t="shared" si="3"/>
        <v>1.8111111111111112E-3</v>
      </c>
      <c r="D24">
        <v>21.6</v>
      </c>
      <c r="E24">
        <f t="shared" si="4"/>
        <v>0.12000000000000001</v>
      </c>
      <c r="F24">
        <v>40</v>
      </c>
      <c r="G24">
        <f t="shared" si="5"/>
        <v>0.86956521739130432</v>
      </c>
      <c r="H24">
        <v>32.6</v>
      </c>
      <c r="I24">
        <f t="shared" si="6"/>
        <v>0.70869565217391306</v>
      </c>
      <c r="J24">
        <v>2.2999999999999998</v>
      </c>
      <c r="K24">
        <f t="shared" si="7"/>
        <v>9.3495934959349575E-2</v>
      </c>
      <c r="L24">
        <f t="shared" si="0"/>
        <v>0.81899891044395623</v>
      </c>
      <c r="N24">
        <f t="shared" si="1"/>
        <v>-0.20225715942028991</v>
      </c>
      <c r="O24">
        <f t="shared" si="2"/>
        <v>1.1190926275992438E-2</v>
      </c>
      <c r="R24">
        <f t="shared" si="8"/>
        <v>0.95743653154104702</v>
      </c>
      <c r="AA24">
        <v>0.16</v>
      </c>
      <c r="AB24">
        <v>40</v>
      </c>
      <c r="AC24">
        <f t="shared" si="9"/>
        <v>6.4</v>
      </c>
      <c r="AE24">
        <f t="shared" si="10"/>
        <v>0.16</v>
      </c>
      <c r="AF24">
        <f t="shared" si="11"/>
        <v>6.4</v>
      </c>
    </row>
    <row r="25" spans="1:32" x14ac:dyDescent="0.3">
      <c r="A25">
        <v>0.16</v>
      </c>
      <c r="B25">
        <v>1.63</v>
      </c>
      <c r="C25">
        <f t="shared" si="3"/>
        <v>9.0555555555555545E-3</v>
      </c>
      <c r="D25">
        <v>20.399999999999999</v>
      </c>
      <c r="E25">
        <f t="shared" si="4"/>
        <v>0.11333333333333333</v>
      </c>
      <c r="F25">
        <v>55.4</v>
      </c>
      <c r="G25">
        <f t="shared" si="5"/>
        <v>1.2043478260869565</v>
      </c>
      <c r="H25">
        <v>48.6</v>
      </c>
      <c r="I25">
        <f t="shared" si="6"/>
        <v>1.0565217391304349</v>
      </c>
      <c r="J25">
        <v>1.68</v>
      </c>
      <c r="K25">
        <f t="shared" si="7"/>
        <v>6.829268292682926E-2</v>
      </c>
      <c r="L25">
        <f t="shared" si="0"/>
        <v>0.82341861152275242</v>
      </c>
      <c r="N25">
        <f t="shared" si="1"/>
        <v>-0.24430793650793653</v>
      </c>
      <c r="O25">
        <f t="shared" si="2"/>
        <v>1.4078674948240149E-2</v>
      </c>
      <c r="R25">
        <f t="shared" si="8"/>
        <v>0.9380280687521142</v>
      </c>
      <c r="AA25">
        <v>0.16</v>
      </c>
      <c r="AB25">
        <v>55.4</v>
      </c>
      <c r="AC25">
        <f t="shared" si="9"/>
        <v>8.8640000000000008</v>
      </c>
      <c r="AE25">
        <f t="shared" si="10"/>
        <v>0.16</v>
      </c>
      <c r="AF25">
        <f t="shared" si="11"/>
        <v>8.8640000000000008</v>
      </c>
    </row>
    <row r="26" spans="1:32" x14ac:dyDescent="0.3">
      <c r="A26">
        <v>0.19800000000000001</v>
      </c>
      <c r="B26">
        <v>0.186</v>
      </c>
      <c r="C26">
        <f t="shared" si="3"/>
        <v>1.0333333333333334E-3</v>
      </c>
      <c r="D26">
        <v>20.7</v>
      </c>
      <c r="E26">
        <f t="shared" si="4"/>
        <v>0.11499999999999999</v>
      </c>
      <c r="F26">
        <v>8.44</v>
      </c>
      <c r="G26">
        <f t="shared" si="5"/>
        <v>0.1834782608695652</v>
      </c>
      <c r="H26">
        <v>0</v>
      </c>
      <c r="I26">
        <f t="shared" si="6"/>
        <v>0</v>
      </c>
      <c r="J26">
        <v>2.33</v>
      </c>
      <c r="K26">
        <f t="shared" si="7"/>
        <v>9.4715447154471541E-2</v>
      </c>
      <c r="L26">
        <f t="shared" si="0"/>
        <v>0.95040362989308391</v>
      </c>
      <c r="N26">
        <f t="shared" si="1"/>
        <v>-0.23824413733905578</v>
      </c>
      <c r="O26">
        <f t="shared" si="2"/>
        <v>1.5591714872177644E-2</v>
      </c>
      <c r="R26">
        <f t="shared" si="8"/>
        <v>1.0958426756845363</v>
      </c>
      <c r="AA26">
        <v>0.19800000000000001</v>
      </c>
      <c r="AB26">
        <v>8.44</v>
      </c>
      <c r="AC26">
        <f t="shared" si="9"/>
        <v>1.6711199999999999</v>
      </c>
      <c r="AE26">
        <f t="shared" si="10"/>
        <v>0.19800000000000001</v>
      </c>
      <c r="AF26">
        <f t="shared" si="11"/>
        <v>1.6711199999999999</v>
      </c>
    </row>
    <row r="27" spans="1:32" x14ac:dyDescent="0.3">
      <c r="A27">
        <v>0.19800000000000001</v>
      </c>
      <c r="B27">
        <v>0.72299999999999998</v>
      </c>
      <c r="C27">
        <f t="shared" si="3"/>
        <v>4.0166666666666666E-3</v>
      </c>
      <c r="D27">
        <v>20.7</v>
      </c>
      <c r="E27">
        <f t="shared" si="4"/>
        <v>0.11499999999999999</v>
      </c>
      <c r="F27">
        <v>24.1</v>
      </c>
      <c r="G27">
        <f t="shared" si="5"/>
        <v>0.52391304347826095</v>
      </c>
      <c r="H27">
        <v>16.3</v>
      </c>
      <c r="I27">
        <f t="shared" si="6"/>
        <v>0.35434782608695653</v>
      </c>
      <c r="J27">
        <v>2.14</v>
      </c>
      <c r="K27">
        <f t="shared" si="7"/>
        <v>8.6991869918699186E-2</v>
      </c>
      <c r="L27">
        <f t="shared" si="0"/>
        <v>0.90109192910128755</v>
      </c>
      <c r="N27">
        <f t="shared" si="1"/>
        <v>-0.25260636448598128</v>
      </c>
      <c r="O27">
        <f t="shared" si="2"/>
        <v>1.5688744412840315E-2</v>
      </c>
      <c r="R27">
        <f t="shared" si="8"/>
        <v>1.0382618696548753</v>
      </c>
      <c r="AA27">
        <v>0.19800000000000001</v>
      </c>
      <c r="AB27">
        <v>24.1</v>
      </c>
      <c r="AC27">
        <f t="shared" si="9"/>
        <v>4.7718000000000007</v>
      </c>
      <c r="AE27">
        <f t="shared" si="10"/>
        <v>0.19800000000000001</v>
      </c>
      <c r="AF27">
        <f t="shared" si="11"/>
        <v>4.7718000000000007</v>
      </c>
    </row>
    <row r="28" spans="1:32" x14ac:dyDescent="0.3">
      <c r="A28">
        <v>0.19800000000000001</v>
      </c>
      <c r="B28">
        <v>1.82</v>
      </c>
      <c r="C28">
        <f t="shared" si="3"/>
        <v>1.0111111111111111E-2</v>
      </c>
      <c r="D28">
        <v>20.2</v>
      </c>
      <c r="E28">
        <f t="shared" si="4"/>
        <v>0.11222222222222222</v>
      </c>
      <c r="F28">
        <v>37.200000000000003</v>
      </c>
      <c r="G28">
        <f t="shared" si="5"/>
        <v>0.80869565217391315</v>
      </c>
      <c r="H28">
        <v>29.8</v>
      </c>
      <c r="I28">
        <f t="shared" si="6"/>
        <v>0.64782608695652177</v>
      </c>
      <c r="J28">
        <v>2.0299999999999998</v>
      </c>
      <c r="K28">
        <f t="shared" si="7"/>
        <v>8.2520325203252018E-2</v>
      </c>
      <c r="L28">
        <f t="shared" si="0"/>
        <v>0.92914315089595534</v>
      </c>
      <c r="N28">
        <f t="shared" si="1"/>
        <v>-0.24500630541871926</v>
      </c>
      <c r="O28">
        <f t="shared" si="2"/>
        <v>1.569072606553867E-2</v>
      </c>
      <c r="R28">
        <f t="shared" si="8"/>
        <v>1.0705680825555004</v>
      </c>
      <c r="AA28">
        <v>0.19800000000000001</v>
      </c>
      <c r="AB28">
        <v>37.200000000000003</v>
      </c>
      <c r="AC28">
        <f t="shared" si="9"/>
        <v>7.3656000000000006</v>
      </c>
      <c r="AE28">
        <f t="shared" si="10"/>
        <v>0.19800000000000001</v>
      </c>
      <c r="AF28">
        <f t="shared" si="11"/>
        <v>7.3656000000000006</v>
      </c>
    </row>
    <row r="29" spans="1:32" x14ac:dyDescent="0.3">
      <c r="A29">
        <v>0.24199999999999999</v>
      </c>
      <c r="B29">
        <v>0.22600000000000001</v>
      </c>
      <c r="C29">
        <f t="shared" si="3"/>
        <v>1.2555555555555555E-3</v>
      </c>
      <c r="D29">
        <v>10.8</v>
      </c>
      <c r="E29">
        <f t="shared" si="4"/>
        <v>6.0000000000000005E-2</v>
      </c>
      <c r="F29">
        <v>4.51</v>
      </c>
      <c r="G29">
        <f t="shared" si="5"/>
        <v>9.8043478260869565E-2</v>
      </c>
      <c r="H29">
        <v>0</v>
      </c>
      <c r="I29">
        <f t="shared" si="6"/>
        <v>0</v>
      </c>
      <c r="J29">
        <v>1.25</v>
      </c>
      <c r="K29">
        <f t="shared" si="7"/>
        <v>5.08130081300813E-2</v>
      </c>
      <c r="L29">
        <f t="shared" si="0"/>
        <v>0.98586370338337626</v>
      </c>
      <c r="N29">
        <f t="shared" si="1"/>
        <v>-0.27977394133333339</v>
      </c>
      <c r="O29">
        <f t="shared" si="2"/>
        <v>1.8981217391304348E-2</v>
      </c>
      <c r="R29">
        <f t="shared" si="8"/>
        <v>1.1372359140981068</v>
      </c>
      <c r="AA29">
        <v>0.24199999999999999</v>
      </c>
      <c r="AB29">
        <v>4.51</v>
      </c>
      <c r="AC29">
        <f t="shared" si="9"/>
        <v>1.0914199999999998</v>
      </c>
      <c r="AE29">
        <f t="shared" si="10"/>
        <v>0.24199999999999999</v>
      </c>
      <c r="AF29">
        <f t="shared" si="11"/>
        <v>1.0914199999999998</v>
      </c>
    </row>
    <row r="30" spans="1:32" x14ac:dyDescent="0.3">
      <c r="A30">
        <v>0.24199999999999999</v>
      </c>
      <c r="B30">
        <v>1.0900000000000001</v>
      </c>
      <c r="C30">
        <f t="shared" si="3"/>
        <v>6.0555555555555562E-3</v>
      </c>
      <c r="D30">
        <v>10.4</v>
      </c>
      <c r="E30">
        <f t="shared" si="4"/>
        <v>5.7777777777777782E-2</v>
      </c>
      <c r="F30">
        <v>18.7</v>
      </c>
      <c r="G30">
        <f t="shared" si="5"/>
        <v>0.40652173913043477</v>
      </c>
      <c r="H30">
        <v>15</v>
      </c>
      <c r="I30">
        <f t="shared" si="6"/>
        <v>0.32608695652173914</v>
      </c>
      <c r="J30">
        <v>0.91900000000000004</v>
      </c>
      <c r="K30">
        <f t="shared" si="7"/>
        <v>3.7357723577235769E-2</v>
      </c>
      <c r="L30">
        <f t="shared" si="0"/>
        <v>0.90396334344420337</v>
      </c>
      <c r="N30">
        <f t="shared" si="1"/>
        <v>-0.33505194051505266</v>
      </c>
      <c r="O30">
        <f t="shared" si="2"/>
        <v>2.1180867672801241E-2</v>
      </c>
      <c r="R30">
        <f t="shared" si="8"/>
        <v>1.0303616562995124</v>
      </c>
      <c r="AA30">
        <v>0.24199999999999999</v>
      </c>
      <c r="AB30">
        <v>18.7</v>
      </c>
      <c r="AC30">
        <f t="shared" si="9"/>
        <v>4.5253999999999994</v>
      </c>
      <c r="AE30">
        <f t="shared" si="10"/>
        <v>0.24199999999999999</v>
      </c>
      <c r="AF30">
        <f t="shared" si="11"/>
        <v>4.5253999999999994</v>
      </c>
    </row>
    <row r="33" spans="1:19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x14ac:dyDescent="0.3">
      <c r="A35" s="7"/>
      <c r="B35" s="7"/>
      <c r="C35" s="15"/>
      <c r="D35" s="7"/>
      <c r="E35" s="7"/>
      <c r="F35" s="7"/>
      <c r="G35" s="7"/>
      <c r="H35" s="7"/>
      <c r="I35" s="7"/>
      <c r="J35" s="7"/>
      <c r="K35" s="7"/>
      <c r="L35" s="7"/>
      <c r="M35" s="7"/>
      <c r="N35" s="15"/>
      <c r="O35" s="7"/>
      <c r="P35" s="7"/>
      <c r="Q35" s="7"/>
      <c r="R35" s="7"/>
      <c r="S35" s="7"/>
    </row>
    <row r="36" spans="1:19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x14ac:dyDescent="0.3">
      <c r="A37" t="s">
        <v>127</v>
      </c>
      <c r="L37" t="s">
        <v>128</v>
      </c>
    </row>
    <row r="38" spans="1:19" x14ac:dyDescent="0.3">
      <c r="A38" t="s">
        <v>70</v>
      </c>
      <c r="L38" t="s">
        <v>70</v>
      </c>
    </row>
    <row r="39" spans="1:19" ht="15" thickBot="1" x14ac:dyDescent="0.35"/>
    <row r="40" spans="1:19" x14ac:dyDescent="0.3">
      <c r="A40" s="13" t="s">
        <v>71</v>
      </c>
      <c r="B40" s="13"/>
      <c r="L40" s="13" t="s">
        <v>71</v>
      </c>
      <c r="M40" s="13"/>
    </row>
    <row r="41" spans="1:19" x14ac:dyDescent="0.3">
      <c r="A41" s="10" t="s">
        <v>72</v>
      </c>
      <c r="B41" s="10">
        <v>0.96644274184240586</v>
      </c>
      <c r="L41" s="10" t="s">
        <v>72</v>
      </c>
      <c r="M41" s="10">
        <v>0.971535297557936</v>
      </c>
    </row>
    <row r="42" spans="1:19" x14ac:dyDescent="0.3">
      <c r="A42" s="10" t="s">
        <v>73</v>
      </c>
      <c r="B42" s="10">
        <v>0.93401157325986717</v>
      </c>
      <c r="L42" s="10" t="s">
        <v>73</v>
      </c>
      <c r="M42" s="10">
        <v>0.94388083440098725</v>
      </c>
    </row>
    <row r="43" spans="1:19" x14ac:dyDescent="0.3">
      <c r="A43" s="10" t="s">
        <v>74</v>
      </c>
      <c r="B43" s="10">
        <v>0.93012990109868288</v>
      </c>
      <c r="L43" s="10" t="s">
        <v>74</v>
      </c>
      <c r="M43" s="10">
        <v>0.93686593870111068</v>
      </c>
    </row>
    <row r="44" spans="1:19" x14ac:dyDescent="0.3">
      <c r="A44" s="10" t="s">
        <v>69</v>
      </c>
      <c r="B44" s="10">
        <v>1.9575983795156789E-2</v>
      </c>
      <c r="L44" s="10" t="s">
        <v>69</v>
      </c>
      <c r="M44" s="10">
        <v>1.8608432079980312E-2</v>
      </c>
    </row>
    <row r="45" spans="1:19" ht="15" thickBot="1" x14ac:dyDescent="0.35">
      <c r="A45" s="11" t="s">
        <v>75</v>
      </c>
      <c r="B45" s="11">
        <v>19</v>
      </c>
      <c r="L45" s="11" t="s">
        <v>75</v>
      </c>
      <c r="M45" s="11">
        <v>19</v>
      </c>
    </row>
    <row r="47" spans="1:19" ht="15" thickBot="1" x14ac:dyDescent="0.35">
      <c r="A47" t="s">
        <v>76</v>
      </c>
      <c r="L47" t="s">
        <v>76</v>
      </c>
    </row>
    <row r="48" spans="1:19" x14ac:dyDescent="0.3">
      <c r="A48" s="12"/>
      <c r="B48" s="12" t="s">
        <v>81</v>
      </c>
      <c r="C48" s="12" t="s">
        <v>82</v>
      </c>
      <c r="D48" s="12" t="s">
        <v>83</v>
      </c>
      <c r="E48" s="12" t="s">
        <v>84</v>
      </c>
      <c r="F48" s="12" t="s">
        <v>85</v>
      </c>
      <c r="L48" s="12"/>
      <c r="M48" s="12" t="s">
        <v>81</v>
      </c>
      <c r="N48" s="12" t="s">
        <v>82</v>
      </c>
      <c r="O48" s="12" t="s">
        <v>83</v>
      </c>
      <c r="P48" s="12" t="s">
        <v>84</v>
      </c>
      <c r="Q48" s="12" t="s">
        <v>85</v>
      </c>
    </row>
    <row r="49" spans="1:20" x14ac:dyDescent="0.3">
      <c r="A49" s="10" t="s">
        <v>77</v>
      </c>
      <c r="B49" s="10">
        <v>1</v>
      </c>
      <c r="C49" s="10">
        <v>9.2210547011153401E-2</v>
      </c>
      <c r="D49" s="10">
        <v>9.2210547011153401E-2</v>
      </c>
      <c r="E49" s="10">
        <v>240.62093203020643</v>
      </c>
      <c r="F49" s="10">
        <v>1.8156441678037233E-11</v>
      </c>
      <c r="L49" s="10" t="s">
        <v>77</v>
      </c>
      <c r="M49" s="10">
        <v>2</v>
      </c>
      <c r="N49" s="10">
        <v>9.3184892505869657E-2</v>
      </c>
      <c r="O49" s="10">
        <v>4.6592446252934828E-2</v>
      </c>
      <c r="P49" s="10">
        <v>134.55379449442009</v>
      </c>
      <c r="Q49" s="10">
        <v>9.8376108994057402E-11</v>
      </c>
    </row>
    <row r="50" spans="1:20" x14ac:dyDescent="0.3">
      <c r="A50" s="10" t="s">
        <v>78</v>
      </c>
      <c r="B50" s="10">
        <v>17</v>
      </c>
      <c r="C50" s="10">
        <v>6.5147254063201007E-3</v>
      </c>
      <c r="D50" s="10">
        <v>3.8321914154824119E-4</v>
      </c>
      <c r="E50" s="10"/>
      <c r="F50" s="10"/>
      <c r="L50" s="10" t="s">
        <v>78</v>
      </c>
      <c r="M50" s="10">
        <v>16</v>
      </c>
      <c r="N50" s="10">
        <v>5.540379911603846E-3</v>
      </c>
      <c r="O50" s="10">
        <v>3.4627374447524038E-4</v>
      </c>
      <c r="P50" s="10"/>
      <c r="Q50" s="10"/>
    </row>
    <row r="51" spans="1:20" ht="15" thickBot="1" x14ac:dyDescent="0.35">
      <c r="A51" s="11" t="s">
        <v>79</v>
      </c>
      <c r="B51" s="11">
        <v>18</v>
      </c>
      <c r="C51" s="11">
        <v>9.8725272417473503E-2</v>
      </c>
      <c r="D51" s="11"/>
      <c r="E51" s="11"/>
      <c r="F51" s="11"/>
      <c r="L51" s="11" t="s">
        <v>79</v>
      </c>
      <c r="M51" s="11">
        <v>18</v>
      </c>
      <c r="N51" s="11">
        <v>9.8725272417473503E-2</v>
      </c>
      <c r="O51" s="11"/>
      <c r="P51" s="11"/>
      <c r="Q51" s="11"/>
    </row>
    <row r="52" spans="1:20" ht="15" thickBot="1" x14ac:dyDescent="0.35"/>
    <row r="53" spans="1:20" x14ac:dyDescent="0.3">
      <c r="A53" s="12"/>
      <c r="B53" s="12" t="s">
        <v>86</v>
      </c>
      <c r="C53" s="12" t="s">
        <v>69</v>
      </c>
      <c r="D53" s="12" t="s">
        <v>87</v>
      </c>
      <c r="E53" s="12" t="s">
        <v>88</v>
      </c>
      <c r="F53" s="12" t="s">
        <v>89</v>
      </c>
      <c r="G53" s="12" t="s">
        <v>90</v>
      </c>
      <c r="H53" s="12" t="s">
        <v>91</v>
      </c>
      <c r="I53" s="12" t="s">
        <v>92</v>
      </c>
      <c r="L53" s="12"/>
      <c r="M53" s="12" t="s">
        <v>86</v>
      </c>
      <c r="N53" s="12" t="s">
        <v>69</v>
      </c>
      <c r="O53" s="12" t="s">
        <v>87</v>
      </c>
      <c r="P53" s="12" t="s">
        <v>88</v>
      </c>
      <c r="Q53" s="12" t="s">
        <v>89</v>
      </c>
      <c r="R53" s="12" t="s">
        <v>90</v>
      </c>
      <c r="S53" s="12" t="s">
        <v>91</v>
      </c>
      <c r="T53" s="12" t="s">
        <v>92</v>
      </c>
    </row>
    <row r="54" spans="1:20" x14ac:dyDescent="0.3">
      <c r="A54" s="10" t="s">
        <v>80</v>
      </c>
      <c r="B54" s="10">
        <v>1.1782690839725052E-3</v>
      </c>
      <c r="C54" s="10">
        <v>1.2115417073128253E-2</v>
      </c>
      <c r="D54" s="10">
        <v>9.7253695589719469E-2</v>
      </c>
      <c r="E54" s="10">
        <v>0.92366233368041084</v>
      </c>
      <c r="F54" s="10">
        <v>-2.4383026588861215E-2</v>
      </c>
      <c r="G54" s="10">
        <v>2.6739564756806226E-2</v>
      </c>
      <c r="H54" s="10">
        <v>-2.4383026588861215E-2</v>
      </c>
      <c r="I54" s="10">
        <v>2.6739564756806226E-2</v>
      </c>
      <c r="L54" s="10" t="s">
        <v>80</v>
      </c>
      <c r="M54" s="10">
        <v>1.7007891464487515E-2</v>
      </c>
      <c r="N54" s="10">
        <v>1.4889092121786329E-2</v>
      </c>
      <c r="O54" s="10">
        <v>1.1423054760740496</v>
      </c>
      <c r="P54" s="10">
        <v>0.27013383981466815</v>
      </c>
      <c r="Q54" s="10">
        <v>-1.4555573825080763E-2</v>
      </c>
      <c r="R54" s="10">
        <v>4.8571356754055793E-2</v>
      </c>
      <c r="S54" s="10">
        <v>-1.4555573825080763E-2</v>
      </c>
      <c r="T54" s="10">
        <v>4.8571356754055793E-2</v>
      </c>
    </row>
    <row r="55" spans="1:20" ht="15" thickBot="1" x14ac:dyDescent="0.35">
      <c r="A55" s="11" t="s">
        <v>6</v>
      </c>
      <c r="B55" s="11">
        <v>-1.2648188025353424</v>
      </c>
      <c r="C55" s="11">
        <v>8.1538292153044714E-2</v>
      </c>
      <c r="D55" s="11">
        <v>-15.511960934395324</v>
      </c>
      <c r="E55" s="11">
        <v>1.8156441678037172E-11</v>
      </c>
      <c r="F55" s="11">
        <v>-1.4368495615097603</v>
      </c>
      <c r="G55" s="11">
        <v>-1.0927880435609245</v>
      </c>
      <c r="H55" s="11">
        <v>-1.4368495615097603</v>
      </c>
      <c r="I55" s="11">
        <v>-1.0927880435609245</v>
      </c>
      <c r="L55" s="10" t="s">
        <v>6</v>
      </c>
      <c r="M55" s="10">
        <v>-1.2953924374314869</v>
      </c>
      <c r="N55" s="10">
        <v>7.9622395747936212E-2</v>
      </c>
      <c r="O55" s="10">
        <v>-16.269196942181473</v>
      </c>
      <c r="P55" s="10">
        <v>2.2468804088952104E-11</v>
      </c>
      <c r="Q55" s="10">
        <v>-1.4641843761142288</v>
      </c>
      <c r="R55" s="10">
        <v>-1.126600498748745</v>
      </c>
      <c r="S55" s="10">
        <v>-1.4641843761142288</v>
      </c>
      <c r="T55" s="10">
        <v>-1.126600498748745</v>
      </c>
    </row>
    <row r="56" spans="1:20" ht="15" thickBot="1" x14ac:dyDescent="0.35">
      <c r="L56" s="11" t="s">
        <v>1</v>
      </c>
      <c r="M56" s="11">
        <v>-4.4155958792628757E-4</v>
      </c>
      <c r="N56" s="11">
        <v>2.6323438012524014E-4</v>
      </c>
      <c r="O56" s="11">
        <v>-1.6774388957711561</v>
      </c>
      <c r="P56" s="11">
        <v>0.11288036955748351</v>
      </c>
      <c r="Q56" s="11">
        <v>-9.9959154529100634E-4</v>
      </c>
      <c r="R56" s="11">
        <v>1.1647236943843124E-4</v>
      </c>
      <c r="S56" s="11">
        <v>-9.9959154529100634E-4</v>
      </c>
      <c r="T56" s="11">
        <v>1.1647236943843124E-4</v>
      </c>
    </row>
    <row r="59" spans="1:20" x14ac:dyDescent="0.3">
      <c r="A59" t="s">
        <v>123</v>
      </c>
      <c r="I59">
        <f>((C50-N50)/(M49-B49))/(N50/(B51+1-(M49+1)))</f>
        <v>2.813801249045965</v>
      </c>
      <c r="K59" t="s">
        <v>292</v>
      </c>
    </row>
    <row r="60" spans="1:20" x14ac:dyDescent="0.3">
      <c r="A60" t="s">
        <v>124</v>
      </c>
      <c r="I60">
        <f>_xlfn.F.DIST.RT(I59,B50-M50,M50)</f>
        <v>0.11288036955748292</v>
      </c>
    </row>
    <row r="61" spans="1:20" x14ac:dyDescent="0.3">
      <c r="A61" t="s">
        <v>125</v>
      </c>
    </row>
    <row r="62" spans="1:20" x14ac:dyDescent="0.3">
      <c r="A62" t="s">
        <v>126</v>
      </c>
    </row>
    <row r="65" spans="1:34" x14ac:dyDescent="0.3">
      <c r="A65" t="s">
        <v>127</v>
      </c>
      <c r="L65" t="s">
        <v>146</v>
      </c>
    </row>
    <row r="66" spans="1:34" x14ac:dyDescent="0.3">
      <c r="A66" t="s">
        <v>70</v>
      </c>
      <c r="L66" t="s">
        <v>70</v>
      </c>
    </row>
    <row r="67" spans="1:34" ht="15" thickBot="1" x14ac:dyDescent="0.35"/>
    <row r="68" spans="1:34" x14ac:dyDescent="0.3">
      <c r="A68" s="13" t="s">
        <v>71</v>
      </c>
      <c r="B68" s="13"/>
      <c r="L68" s="13" t="s">
        <v>71</v>
      </c>
      <c r="M68" s="13"/>
    </row>
    <row r="69" spans="1:34" x14ac:dyDescent="0.3">
      <c r="A69" s="10" t="s">
        <v>72</v>
      </c>
      <c r="B69" s="10">
        <v>0.96644274184240586</v>
      </c>
      <c r="L69" s="10" t="s">
        <v>72</v>
      </c>
      <c r="M69" s="10">
        <v>0.97421029569619355</v>
      </c>
    </row>
    <row r="70" spans="1:34" x14ac:dyDescent="0.3">
      <c r="A70" s="10" t="s">
        <v>73</v>
      </c>
      <c r="B70" s="10">
        <v>0.93401157325986717</v>
      </c>
      <c r="L70" s="10" t="s">
        <v>73</v>
      </c>
      <c r="M70" s="10">
        <v>0.9490857002404649</v>
      </c>
    </row>
    <row r="71" spans="1:34" x14ac:dyDescent="0.3">
      <c r="A71" s="10" t="s">
        <v>74</v>
      </c>
      <c r="B71" s="10">
        <v>0.93012990109868288</v>
      </c>
      <c r="L71" s="10" t="s">
        <v>74</v>
      </c>
      <c r="M71" s="10">
        <v>0.93890284028855786</v>
      </c>
    </row>
    <row r="72" spans="1:34" x14ac:dyDescent="0.3">
      <c r="A72" s="10" t="s">
        <v>69</v>
      </c>
      <c r="B72" s="10">
        <v>1.9575983795156789E-2</v>
      </c>
      <c r="L72" s="10" t="s">
        <v>69</v>
      </c>
      <c r="M72" s="10">
        <v>1.8305787998526588E-2</v>
      </c>
    </row>
    <row r="73" spans="1:34" ht="15" thickBot="1" x14ac:dyDescent="0.35">
      <c r="A73" s="11" t="s">
        <v>75</v>
      </c>
      <c r="B73" s="11">
        <v>19</v>
      </c>
      <c r="L73" s="11" t="s">
        <v>75</v>
      </c>
      <c r="M73" s="11">
        <v>19</v>
      </c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</row>
    <row r="74" spans="1:34" x14ac:dyDescent="0.3"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</row>
    <row r="75" spans="1:34" ht="15" thickBot="1" x14ac:dyDescent="0.35">
      <c r="A75" t="s">
        <v>76</v>
      </c>
      <c r="L75" t="s">
        <v>76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</row>
    <row r="76" spans="1:34" x14ac:dyDescent="0.3">
      <c r="A76" s="12"/>
      <c r="B76" s="12" t="s">
        <v>81</v>
      </c>
      <c r="C76" s="12" t="s">
        <v>82</v>
      </c>
      <c r="D76" s="12" t="s">
        <v>83</v>
      </c>
      <c r="E76" s="12" t="s">
        <v>84</v>
      </c>
      <c r="F76" s="12" t="s">
        <v>85</v>
      </c>
      <c r="L76" s="12"/>
      <c r="M76" s="12" t="s">
        <v>81</v>
      </c>
      <c r="N76" s="12" t="s">
        <v>82</v>
      </c>
      <c r="O76" s="12" t="s">
        <v>83</v>
      </c>
      <c r="P76" s="12" t="s">
        <v>84</v>
      </c>
      <c r="Q76" s="12" t="s">
        <v>85</v>
      </c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</row>
    <row r="77" spans="1:34" x14ac:dyDescent="0.3">
      <c r="A77" s="10" t="s">
        <v>77</v>
      </c>
      <c r="B77" s="10">
        <v>1</v>
      </c>
      <c r="C77" s="10">
        <v>9.2210547011153401E-2</v>
      </c>
      <c r="D77" s="10">
        <v>9.2210547011153401E-2</v>
      </c>
      <c r="E77" s="10">
        <v>240.62093203020643</v>
      </c>
      <c r="F77" s="10">
        <v>1.8156441678037233E-11</v>
      </c>
      <c r="L77" s="10" t="s">
        <v>77</v>
      </c>
      <c r="M77" s="10">
        <v>3</v>
      </c>
      <c r="N77" s="10">
        <v>9.3698744303768497E-2</v>
      </c>
      <c r="O77" s="10">
        <v>3.1232914767922833E-2</v>
      </c>
      <c r="P77" s="10">
        <v>93.204237780244028</v>
      </c>
      <c r="Q77" s="10">
        <v>6.3401133167708491E-10</v>
      </c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</row>
    <row r="78" spans="1:34" x14ac:dyDescent="0.3">
      <c r="A78" s="10" t="s">
        <v>78</v>
      </c>
      <c r="B78" s="10">
        <v>17</v>
      </c>
      <c r="C78" s="10">
        <v>6.5147254063201007E-3</v>
      </c>
      <c r="D78" s="10">
        <v>3.8321914154824119E-4</v>
      </c>
      <c r="E78" s="10"/>
      <c r="F78" s="10"/>
      <c r="L78" s="10" t="s">
        <v>78</v>
      </c>
      <c r="M78" s="10">
        <v>15</v>
      </c>
      <c r="N78" s="10">
        <v>5.0265281137050017E-3</v>
      </c>
      <c r="O78" s="10">
        <v>3.3510187424700013E-4</v>
      </c>
      <c r="P78" s="10"/>
      <c r="Q78" s="10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</row>
    <row r="79" spans="1:34" ht="15" thickBot="1" x14ac:dyDescent="0.35">
      <c r="A79" s="11" t="s">
        <v>79</v>
      </c>
      <c r="B79" s="11">
        <v>18</v>
      </c>
      <c r="C79" s="11">
        <v>9.8725272417473503E-2</v>
      </c>
      <c r="D79" s="11"/>
      <c r="E79" s="11"/>
      <c r="F79" s="11"/>
      <c r="L79" s="11" t="s">
        <v>79</v>
      </c>
      <c r="M79" s="11">
        <v>18</v>
      </c>
      <c r="N79" s="11">
        <v>9.8725272417473503E-2</v>
      </c>
      <c r="O79" s="11"/>
      <c r="P79" s="11"/>
      <c r="Q79" s="11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</row>
    <row r="80" spans="1:34" ht="15" thickBot="1" x14ac:dyDescent="0.35"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</row>
    <row r="81" spans="1:34" x14ac:dyDescent="0.3">
      <c r="A81" s="12"/>
      <c r="B81" s="12" t="s">
        <v>86</v>
      </c>
      <c r="C81" s="12" t="s">
        <v>69</v>
      </c>
      <c r="D81" s="12" t="s">
        <v>87</v>
      </c>
      <c r="E81" s="12" t="s">
        <v>88</v>
      </c>
      <c r="F81" s="12" t="s">
        <v>89</v>
      </c>
      <c r="G81" s="12" t="s">
        <v>90</v>
      </c>
      <c r="H81" s="12" t="s">
        <v>91</v>
      </c>
      <c r="I81" s="12" t="s">
        <v>92</v>
      </c>
      <c r="L81" s="12"/>
      <c r="M81" s="12" t="s">
        <v>86</v>
      </c>
      <c r="N81" s="12" t="s">
        <v>69</v>
      </c>
      <c r="O81" s="12" t="s">
        <v>87</v>
      </c>
      <c r="P81" s="12" t="s">
        <v>88</v>
      </c>
      <c r="Q81" s="12" t="s">
        <v>89</v>
      </c>
      <c r="R81" s="12" t="s">
        <v>90</v>
      </c>
      <c r="S81" s="12" t="s">
        <v>91</v>
      </c>
      <c r="T81" s="12" t="s">
        <v>92</v>
      </c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</row>
    <row r="82" spans="1:34" x14ac:dyDescent="0.3">
      <c r="A82" s="10" t="s">
        <v>80</v>
      </c>
      <c r="B82" s="10">
        <v>1.1782690839725052E-3</v>
      </c>
      <c r="C82" s="10">
        <v>1.2115417073128253E-2</v>
      </c>
      <c r="D82" s="10">
        <v>9.7253695589719469E-2</v>
      </c>
      <c r="E82" s="10">
        <v>0.92366233368041084</v>
      </c>
      <c r="F82" s="10">
        <v>-2.4383026588861215E-2</v>
      </c>
      <c r="G82" s="10">
        <v>2.6739564756806226E-2</v>
      </c>
      <c r="H82" s="10">
        <v>-2.4383026588861215E-2</v>
      </c>
      <c r="I82" s="10">
        <v>2.6739564756806226E-2</v>
      </c>
      <c r="L82" s="10" t="s">
        <v>80</v>
      </c>
      <c r="M82" s="10">
        <v>-1.2310225724530693E-3</v>
      </c>
      <c r="N82" s="10">
        <v>2.0771891131379443E-2</v>
      </c>
      <c r="O82" s="10">
        <v>-5.9263865994050119E-2</v>
      </c>
      <c r="P82" s="10">
        <v>0.95352428831163483</v>
      </c>
      <c r="Q82" s="10">
        <v>-4.5505260484848889E-2</v>
      </c>
      <c r="R82" s="10">
        <v>4.304321533994275E-2</v>
      </c>
      <c r="S82" s="10">
        <v>-4.5505260484848889E-2</v>
      </c>
      <c r="T82" s="10">
        <v>4.304321533994275E-2</v>
      </c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</row>
    <row r="83" spans="1:34" ht="15" thickBot="1" x14ac:dyDescent="0.35">
      <c r="A83" s="11" t="s">
        <v>6</v>
      </c>
      <c r="B83" s="11">
        <v>-1.2648188025353424</v>
      </c>
      <c r="C83" s="11">
        <v>8.1538292153044714E-2</v>
      </c>
      <c r="D83" s="11">
        <v>-15.511960934395324</v>
      </c>
      <c r="E83" s="11">
        <v>1.8156441678037172E-11</v>
      </c>
      <c r="F83" s="11">
        <v>-1.4368495615097603</v>
      </c>
      <c r="G83" s="11">
        <v>-1.0927880435609245</v>
      </c>
      <c r="H83" s="11">
        <v>-1.4368495615097603</v>
      </c>
      <c r="I83" s="11">
        <v>-1.0927880435609245</v>
      </c>
      <c r="L83" s="10" t="s">
        <v>6</v>
      </c>
      <c r="M83" s="10">
        <v>-1.1612081561087009</v>
      </c>
      <c r="N83" s="10">
        <v>0.13370561584669954</v>
      </c>
      <c r="O83" s="10">
        <v>-8.6848121431196024</v>
      </c>
      <c r="P83" s="10">
        <v>3.0872891959753276E-7</v>
      </c>
      <c r="Q83" s="10">
        <v>-1.4461949302439383</v>
      </c>
      <c r="R83" s="10">
        <v>-0.87622138197346344</v>
      </c>
      <c r="S83" s="10">
        <v>-1.4461949302439383</v>
      </c>
      <c r="T83" s="10">
        <v>-0.87622138197346344</v>
      </c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</row>
    <row r="84" spans="1:34" x14ac:dyDescent="0.3">
      <c r="L84" s="10" t="s">
        <v>1</v>
      </c>
      <c r="M84" s="10">
        <v>3.9917545944377549E-4</v>
      </c>
      <c r="N84" s="10">
        <v>7.2664325894877509E-4</v>
      </c>
      <c r="O84" s="10">
        <v>0.54934172240344892</v>
      </c>
      <c r="P84" s="10">
        <v>0.590856158496327</v>
      </c>
      <c r="Q84" s="10">
        <v>-1.1496279846266646E-3</v>
      </c>
      <c r="R84" s="10">
        <v>1.9479789035142154E-3</v>
      </c>
      <c r="S84" s="10">
        <v>-1.1496279846266646E-3</v>
      </c>
      <c r="T84" s="10">
        <v>1.9479789035142154E-3</v>
      </c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</row>
    <row r="85" spans="1:34" ht="15" thickBot="1" x14ac:dyDescent="0.35">
      <c r="L85" s="11" t="s">
        <v>147</v>
      </c>
      <c r="M85" s="11">
        <v>-6.5480953787723931E-3</v>
      </c>
      <c r="N85" s="11">
        <v>5.2879152360830279E-3</v>
      </c>
      <c r="O85" s="11">
        <v>-1.2383132267496086</v>
      </c>
      <c r="P85" s="11">
        <v>0.23463067511372479</v>
      </c>
      <c r="Q85" s="11">
        <v>-1.7819019905680168E-2</v>
      </c>
      <c r="R85" s="11">
        <v>4.7228291481353829E-3</v>
      </c>
      <c r="S85" s="11">
        <v>-1.7819019905680168E-2</v>
      </c>
      <c r="T85" s="11">
        <v>4.7228291481353829E-3</v>
      </c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</row>
    <row r="86" spans="1:34" x14ac:dyDescent="0.3"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</row>
    <row r="87" spans="1:34" x14ac:dyDescent="0.3"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</row>
    <row r="88" spans="1:34" x14ac:dyDescent="0.3">
      <c r="A88" t="s">
        <v>123</v>
      </c>
      <c r="I88">
        <f>((C78-N78)/(M77-B77))/(N78/(B79+1-(M77+1)))</f>
        <v>2.2205147254983184</v>
      </c>
      <c r="K88" t="s">
        <v>292</v>
      </c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</row>
    <row r="89" spans="1:34" s="14" customFormat="1" x14ac:dyDescent="0.3">
      <c r="A89" t="s">
        <v>124</v>
      </c>
      <c r="B89"/>
      <c r="C89"/>
      <c r="D89"/>
      <c r="E89"/>
      <c r="F89"/>
      <c r="G89"/>
      <c r="H89"/>
      <c r="I89">
        <f>_xlfn.F.DIST.RT(I88,B78-M78,M78)</f>
        <v>0.14298484423689281</v>
      </c>
      <c r="J89"/>
      <c r="K89"/>
      <c r="L89"/>
      <c r="M89"/>
      <c r="N89"/>
      <c r="O89"/>
      <c r="P89"/>
      <c r="Q89"/>
      <c r="R89"/>
      <c r="S89"/>
      <c r="T89"/>
      <c r="U89"/>
      <c r="V89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</row>
    <row r="90" spans="1:34" x14ac:dyDescent="0.3">
      <c r="A90" t="s">
        <v>125</v>
      </c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</row>
    <row r="91" spans="1:34" x14ac:dyDescent="0.3">
      <c r="A91" t="s">
        <v>126</v>
      </c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</row>
    <row r="92" spans="1:34" x14ac:dyDescent="0.3"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</row>
    <row r="93" spans="1:34" x14ac:dyDescent="0.3"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</row>
    <row r="94" spans="1:34" x14ac:dyDescent="0.3"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</row>
    <row r="95" spans="1:34" x14ac:dyDescent="0.3"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</row>
    <row r="96" spans="1:34" x14ac:dyDescent="0.3"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</row>
    <row r="97" spans="1:34" x14ac:dyDescent="0.3">
      <c r="A97" t="s">
        <v>148</v>
      </c>
      <c r="L97" t="s">
        <v>146</v>
      </c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</row>
    <row r="98" spans="1:34" x14ac:dyDescent="0.3">
      <c r="A98" t="s">
        <v>70</v>
      </c>
      <c r="L98" t="s">
        <v>70</v>
      </c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</row>
    <row r="99" spans="1:34" ht="15" thickBot="1" x14ac:dyDescent="0.35"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</row>
    <row r="100" spans="1:34" x14ac:dyDescent="0.3">
      <c r="A100" s="13" t="s">
        <v>71</v>
      </c>
      <c r="B100" s="13"/>
      <c r="L100" s="13" t="s">
        <v>71</v>
      </c>
      <c r="M100" s="13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</row>
    <row r="101" spans="1:34" x14ac:dyDescent="0.3">
      <c r="A101" s="10" t="s">
        <v>72</v>
      </c>
      <c r="B101" s="10">
        <v>0.971535297557936</v>
      </c>
      <c r="L101" s="10" t="s">
        <v>72</v>
      </c>
      <c r="M101" s="10">
        <v>0.97421029569619355</v>
      </c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</row>
    <row r="102" spans="1:34" x14ac:dyDescent="0.3">
      <c r="A102" s="10" t="s">
        <v>73</v>
      </c>
      <c r="B102" s="10">
        <v>0.94388083440098725</v>
      </c>
      <c r="L102" s="10" t="s">
        <v>73</v>
      </c>
      <c r="M102" s="10">
        <v>0.9490857002404649</v>
      </c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</row>
    <row r="103" spans="1:34" x14ac:dyDescent="0.3">
      <c r="A103" s="10" t="s">
        <v>74</v>
      </c>
      <c r="B103" s="10">
        <v>0.93686593870111068</v>
      </c>
      <c r="L103" s="10" t="s">
        <v>74</v>
      </c>
      <c r="M103" s="10">
        <v>0.93890284028855786</v>
      </c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</row>
    <row r="104" spans="1:34" x14ac:dyDescent="0.3">
      <c r="A104" s="10" t="s">
        <v>69</v>
      </c>
      <c r="B104" s="10">
        <v>1.8608432079980312E-2</v>
      </c>
      <c r="L104" s="10" t="s">
        <v>69</v>
      </c>
      <c r="M104" s="10">
        <v>1.8305787998526588E-2</v>
      </c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</row>
    <row r="105" spans="1:34" ht="15" thickBot="1" x14ac:dyDescent="0.35">
      <c r="A105" s="11" t="s">
        <v>75</v>
      </c>
      <c r="B105" s="11">
        <v>19</v>
      </c>
      <c r="L105" s="11" t="s">
        <v>75</v>
      </c>
      <c r="M105" s="11">
        <v>19</v>
      </c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</row>
    <row r="106" spans="1:34" x14ac:dyDescent="0.3"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</row>
    <row r="107" spans="1:34" ht="15" thickBot="1" x14ac:dyDescent="0.35">
      <c r="A107" t="s">
        <v>76</v>
      </c>
      <c r="L107" t="s">
        <v>76</v>
      </c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</row>
    <row r="108" spans="1:34" x14ac:dyDescent="0.3">
      <c r="A108" s="12"/>
      <c r="B108" s="12" t="s">
        <v>81</v>
      </c>
      <c r="C108" s="12" t="s">
        <v>82</v>
      </c>
      <c r="D108" s="12" t="s">
        <v>83</v>
      </c>
      <c r="E108" s="12" t="s">
        <v>84</v>
      </c>
      <c r="F108" s="12" t="s">
        <v>85</v>
      </c>
      <c r="L108" s="12"/>
      <c r="M108" s="12" t="s">
        <v>81</v>
      </c>
      <c r="N108" s="12" t="s">
        <v>82</v>
      </c>
      <c r="O108" s="12" t="s">
        <v>83</v>
      </c>
      <c r="P108" s="12" t="s">
        <v>84</v>
      </c>
      <c r="Q108" s="12" t="s">
        <v>85</v>
      </c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</row>
    <row r="109" spans="1:34" x14ac:dyDescent="0.3">
      <c r="A109" s="10" t="s">
        <v>77</v>
      </c>
      <c r="B109" s="10">
        <v>2</v>
      </c>
      <c r="C109" s="10">
        <v>9.3184892505869657E-2</v>
      </c>
      <c r="D109" s="10">
        <v>4.6592446252934828E-2</v>
      </c>
      <c r="E109" s="10">
        <v>134.55379449442009</v>
      </c>
      <c r="F109" s="10">
        <v>9.8376108994057402E-11</v>
      </c>
      <c r="L109" s="10" t="s">
        <v>77</v>
      </c>
      <c r="M109" s="10">
        <v>3</v>
      </c>
      <c r="N109" s="10">
        <v>9.3698744303768497E-2</v>
      </c>
      <c r="O109" s="10">
        <v>3.1232914767922833E-2</v>
      </c>
      <c r="P109" s="10">
        <v>93.204237780244028</v>
      </c>
      <c r="Q109" s="10">
        <v>6.3401133167708491E-10</v>
      </c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</row>
    <row r="110" spans="1:34" x14ac:dyDescent="0.3">
      <c r="A110" s="10" t="s">
        <v>78</v>
      </c>
      <c r="B110" s="10">
        <v>16</v>
      </c>
      <c r="C110" s="10">
        <v>5.540379911603846E-3</v>
      </c>
      <c r="D110" s="10">
        <v>3.4627374447524038E-4</v>
      </c>
      <c r="E110" s="10"/>
      <c r="F110" s="10"/>
      <c r="L110" s="10" t="s">
        <v>78</v>
      </c>
      <c r="M110" s="10">
        <v>15</v>
      </c>
      <c r="N110" s="10">
        <v>5.0265281137050017E-3</v>
      </c>
      <c r="O110" s="10">
        <v>3.3510187424700013E-4</v>
      </c>
      <c r="P110" s="10"/>
      <c r="Q110" s="10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</row>
    <row r="111" spans="1:34" ht="15" thickBot="1" x14ac:dyDescent="0.35">
      <c r="A111" s="11" t="s">
        <v>79</v>
      </c>
      <c r="B111" s="11">
        <v>18</v>
      </c>
      <c r="C111" s="11">
        <v>9.8725272417473503E-2</v>
      </c>
      <c r="D111" s="11"/>
      <c r="E111" s="11"/>
      <c r="F111" s="11"/>
      <c r="L111" s="11" t="s">
        <v>79</v>
      </c>
      <c r="M111" s="11">
        <v>18</v>
      </c>
      <c r="N111" s="11">
        <v>9.8725272417473503E-2</v>
      </c>
      <c r="O111" s="11"/>
      <c r="P111" s="11"/>
      <c r="Q111" s="11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</row>
    <row r="112" spans="1:34" ht="15" thickBot="1" x14ac:dyDescent="0.35"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</row>
    <row r="113" spans="1:34" x14ac:dyDescent="0.3">
      <c r="A113" s="12"/>
      <c r="B113" s="12" t="s">
        <v>86</v>
      </c>
      <c r="C113" s="12" t="s">
        <v>69</v>
      </c>
      <c r="D113" s="12" t="s">
        <v>87</v>
      </c>
      <c r="E113" s="12" t="s">
        <v>88</v>
      </c>
      <c r="F113" s="12" t="s">
        <v>89</v>
      </c>
      <c r="G113" s="12" t="s">
        <v>90</v>
      </c>
      <c r="H113" s="12" t="s">
        <v>91</v>
      </c>
      <c r="I113" s="12" t="s">
        <v>92</v>
      </c>
      <c r="L113" s="12"/>
      <c r="M113" s="12" t="s">
        <v>86</v>
      </c>
      <c r="N113" s="12" t="s">
        <v>69</v>
      </c>
      <c r="O113" s="12" t="s">
        <v>87</v>
      </c>
      <c r="P113" s="12" t="s">
        <v>88</v>
      </c>
      <c r="Q113" s="12" t="s">
        <v>89</v>
      </c>
      <c r="R113" s="12" t="s">
        <v>90</v>
      </c>
      <c r="S113" s="12" t="s">
        <v>91</v>
      </c>
      <c r="T113" s="12" t="s">
        <v>92</v>
      </c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</row>
    <row r="114" spans="1:34" x14ac:dyDescent="0.3">
      <c r="A114" s="10" t="s">
        <v>80</v>
      </c>
      <c r="B114" s="10">
        <v>1.7007891464487515E-2</v>
      </c>
      <c r="C114" s="10">
        <v>1.4889092121786329E-2</v>
      </c>
      <c r="D114" s="10">
        <v>1.1423054760740496</v>
      </c>
      <c r="E114" s="10">
        <v>0.27013383981466815</v>
      </c>
      <c r="F114" s="10">
        <v>-1.4555573825080763E-2</v>
      </c>
      <c r="G114" s="10">
        <v>4.8571356754055793E-2</v>
      </c>
      <c r="H114" s="10">
        <v>-1.4555573825080763E-2</v>
      </c>
      <c r="I114" s="10">
        <v>4.8571356754055793E-2</v>
      </c>
      <c r="L114" s="10" t="s">
        <v>80</v>
      </c>
      <c r="M114" s="10">
        <v>-1.2310225724530693E-3</v>
      </c>
      <c r="N114" s="10">
        <v>2.0771891131379443E-2</v>
      </c>
      <c r="O114" s="10">
        <v>-5.9263865994050119E-2</v>
      </c>
      <c r="P114" s="10">
        <v>0.95352428831163483</v>
      </c>
      <c r="Q114" s="10">
        <v>-4.5505260484848889E-2</v>
      </c>
      <c r="R114" s="10">
        <v>4.304321533994275E-2</v>
      </c>
      <c r="S114" s="10">
        <v>-4.5505260484848889E-2</v>
      </c>
      <c r="T114" s="10">
        <v>4.304321533994275E-2</v>
      </c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</row>
    <row r="115" spans="1:34" x14ac:dyDescent="0.3">
      <c r="A115" s="10" t="s">
        <v>6</v>
      </c>
      <c r="B115" s="10">
        <v>-1.2953924374314869</v>
      </c>
      <c r="C115" s="10">
        <v>7.9622395747936212E-2</v>
      </c>
      <c r="D115" s="10">
        <v>-16.269196942181473</v>
      </c>
      <c r="E115" s="10">
        <v>2.2468804088952104E-11</v>
      </c>
      <c r="F115" s="10">
        <v>-1.4641843761142288</v>
      </c>
      <c r="G115" s="10">
        <v>-1.126600498748745</v>
      </c>
      <c r="H115" s="10">
        <v>-1.4641843761142288</v>
      </c>
      <c r="I115" s="10">
        <v>-1.126600498748745</v>
      </c>
      <c r="L115" s="10" t="s">
        <v>6</v>
      </c>
      <c r="M115" s="10">
        <v>-1.1612081561087009</v>
      </c>
      <c r="N115" s="10">
        <v>0.13370561584669954</v>
      </c>
      <c r="O115" s="10">
        <v>-8.6848121431196024</v>
      </c>
      <c r="P115" s="10">
        <v>3.0872891959753276E-7</v>
      </c>
      <c r="Q115" s="10">
        <v>-1.4461949302439383</v>
      </c>
      <c r="R115" s="10">
        <v>-0.87622138197346344</v>
      </c>
      <c r="S115" s="10">
        <v>-1.4461949302439383</v>
      </c>
      <c r="T115" s="10">
        <v>-0.87622138197346344</v>
      </c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</row>
    <row r="116" spans="1:34" ht="15" thickBot="1" x14ac:dyDescent="0.35">
      <c r="A116" s="11" t="s">
        <v>1</v>
      </c>
      <c r="B116" s="11">
        <v>-4.4155958792628757E-4</v>
      </c>
      <c r="C116" s="11">
        <v>2.6323438012524014E-4</v>
      </c>
      <c r="D116" s="11">
        <v>-1.6774388957711561</v>
      </c>
      <c r="E116" s="11">
        <v>0.11288036955748351</v>
      </c>
      <c r="F116" s="11">
        <v>-9.9959154529100634E-4</v>
      </c>
      <c r="G116" s="11">
        <v>1.1647236943843124E-4</v>
      </c>
      <c r="H116" s="11">
        <v>-9.9959154529100634E-4</v>
      </c>
      <c r="I116" s="11">
        <v>1.1647236943843124E-4</v>
      </c>
      <c r="L116" s="10" t="s">
        <v>1</v>
      </c>
      <c r="M116" s="10">
        <v>3.9917545944377549E-4</v>
      </c>
      <c r="N116" s="10">
        <v>7.2664325894877509E-4</v>
      </c>
      <c r="O116" s="10">
        <v>0.54934172240344892</v>
      </c>
      <c r="P116" s="10">
        <v>0.590856158496327</v>
      </c>
      <c r="Q116" s="10">
        <v>-1.1496279846266646E-3</v>
      </c>
      <c r="R116" s="10">
        <v>1.9479789035142154E-3</v>
      </c>
      <c r="S116" s="10">
        <v>-1.1496279846266646E-3</v>
      </c>
      <c r="T116" s="10">
        <v>1.9479789035142154E-3</v>
      </c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</row>
    <row r="117" spans="1:34" ht="15" thickBot="1" x14ac:dyDescent="0.35">
      <c r="L117" s="11" t="s">
        <v>147</v>
      </c>
      <c r="M117" s="11">
        <v>-6.5480953787723931E-3</v>
      </c>
      <c r="N117" s="11">
        <v>5.2879152360830279E-3</v>
      </c>
      <c r="O117" s="11">
        <v>-1.2383132267496086</v>
      </c>
      <c r="P117" s="11">
        <v>0.23463067511372479</v>
      </c>
      <c r="Q117" s="11">
        <v>-1.7819019905680168E-2</v>
      </c>
      <c r="R117" s="11">
        <v>4.7228291481353829E-3</v>
      </c>
      <c r="S117" s="11">
        <v>-1.7819019905680168E-2</v>
      </c>
      <c r="T117" s="11">
        <v>4.7228291481353829E-3</v>
      </c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</row>
    <row r="118" spans="1:34" x14ac:dyDescent="0.3"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</row>
    <row r="119" spans="1:34" x14ac:dyDescent="0.3"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</row>
    <row r="120" spans="1:34" x14ac:dyDescent="0.3">
      <c r="A120" t="s">
        <v>123</v>
      </c>
      <c r="I120">
        <f>((C110-N110)/(M109-B109))/(N110/(B111+1-(M109+1)))</f>
        <v>1.5334196475430317</v>
      </c>
      <c r="K120" t="s">
        <v>292</v>
      </c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</row>
    <row r="121" spans="1:34" x14ac:dyDescent="0.3">
      <c r="A121" t="s">
        <v>124</v>
      </c>
      <c r="I121">
        <f>_xlfn.F.DIST.RT(I120,B110-M110,M110)</f>
        <v>0.23463067511372415</v>
      </c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</row>
    <row r="122" spans="1:34" x14ac:dyDescent="0.3">
      <c r="A122" t="s">
        <v>125</v>
      </c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</row>
    <row r="123" spans="1:34" x14ac:dyDescent="0.3">
      <c r="A123" t="s">
        <v>307</v>
      </c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</row>
    <row r="124" spans="1:34" x14ac:dyDescent="0.3"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</row>
    <row r="125" spans="1:34" x14ac:dyDescent="0.3"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</row>
    <row r="126" spans="1:34" x14ac:dyDescent="0.3">
      <c r="A126" t="s">
        <v>127</v>
      </c>
      <c r="L126" t="s">
        <v>149</v>
      </c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</row>
    <row r="127" spans="1:34" x14ac:dyDescent="0.3">
      <c r="A127" t="s">
        <v>70</v>
      </c>
      <c r="L127" t="s">
        <v>70</v>
      </c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</row>
    <row r="128" spans="1:34" ht="15" thickBot="1" x14ac:dyDescent="0.35"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</row>
    <row r="129" spans="1:34" x14ac:dyDescent="0.3">
      <c r="A129" s="13" t="s">
        <v>71</v>
      </c>
      <c r="B129" s="13"/>
      <c r="L129" s="13" t="s">
        <v>71</v>
      </c>
      <c r="M129" s="13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</row>
    <row r="130" spans="1:34" x14ac:dyDescent="0.3">
      <c r="A130" s="10" t="s">
        <v>72</v>
      </c>
      <c r="B130" s="10">
        <v>0.96644274184240586</v>
      </c>
      <c r="L130" s="10" t="s">
        <v>72</v>
      </c>
      <c r="M130" s="10">
        <v>0.97368443803880722</v>
      </c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</row>
    <row r="131" spans="1:34" x14ac:dyDescent="0.3">
      <c r="A131" s="10" t="s">
        <v>73</v>
      </c>
      <c r="B131" s="10">
        <v>0.93401157325986717</v>
      </c>
      <c r="L131" s="10" t="s">
        <v>73</v>
      </c>
      <c r="M131" s="10">
        <v>0.94806138487894775</v>
      </c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</row>
    <row r="132" spans="1:34" x14ac:dyDescent="0.3">
      <c r="A132" s="10" t="s">
        <v>74</v>
      </c>
      <c r="B132" s="10">
        <v>0.93012990109868288</v>
      </c>
      <c r="L132" s="10" t="s">
        <v>74</v>
      </c>
      <c r="M132" s="10">
        <v>0.94156905798881629</v>
      </c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</row>
    <row r="133" spans="1:34" x14ac:dyDescent="0.3">
      <c r="A133" s="10" t="s">
        <v>69</v>
      </c>
      <c r="B133" s="10">
        <v>1.9575983795156789E-2</v>
      </c>
      <c r="L133" s="10" t="s">
        <v>69</v>
      </c>
      <c r="M133" s="10">
        <v>1.790190968656032E-2</v>
      </c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</row>
    <row r="134" spans="1:34" ht="15" thickBot="1" x14ac:dyDescent="0.35">
      <c r="A134" s="11" t="s">
        <v>75</v>
      </c>
      <c r="B134" s="11">
        <v>19</v>
      </c>
      <c r="L134" s="11" t="s">
        <v>75</v>
      </c>
      <c r="M134" s="11">
        <v>19</v>
      </c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</row>
    <row r="135" spans="1:34" x14ac:dyDescent="0.3"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</row>
    <row r="136" spans="1:34" ht="15" thickBot="1" x14ac:dyDescent="0.35">
      <c r="A136" t="s">
        <v>76</v>
      </c>
      <c r="L136" t="s">
        <v>76</v>
      </c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</row>
    <row r="137" spans="1:34" x14ac:dyDescent="0.3">
      <c r="A137" s="12"/>
      <c r="B137" s="12" t="s">
        <v>81</v>
      </c>
      <c r="C137" s="12" t="s">
        <v>82</v>
      </c>
      <c r="D137" s="12" t="s">
        <v>83</v>
      </c>
      <c r="E137" s="12" t="s">
        <v>84</v>
      </c>
      <c r="F137" s="12" t="s">
        <v>85</v>
      </c>
      <c r="L137" s="12"/>
      <c r="M137" s="12" t="s">
        <v>81</v>
      </c>
      <c r="N137" s="12" t="s">
        <v>82</v>
      </c>
      <c r="O137" s="12" t="s">
        <v>83</v>
      </c>
      <c r="P137" s="12" t="s">
        <v>84</v>
      </c>
      <c r="Q137" s="12" t="s">
        <v>85</v>
      </c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</row>
    <row r="138" spans="1:34" x14ac:dyDescent="0.3">
      <c r="A138" s="10" t="s">
        <v>77</v>
      </c>
      <c r="B138" s="10">
        <v>1</v>
      </c>
      <c r="C138" s="10">
        <v>9.2210547011153401E-2</v>
      </c>
      <c r="D138" s="10">
        <v>9.2210547011153401E-2</v>
      </c>
      <c r="E138" s="10">
        <v>240.62093203020643</v>
      </c>
      <c r="F138" s="10">
        <v>1.8156441678037233E-11</v>
      </c>
      <c r="L138" s="10" t="s">
        <v>77</v>
      </c>
      <c r="M138" s="10">
        <v>2</v>
      </c>
      <c r="N138" s="10">
        <v>9.3597618490661311E-2</v>
      </c>
      <c r="O138" s="10">
        <v>4.6798809245330655E-2</v>
      </c>
      <c r="P138" s="10">
        <v>146.02798055655816</v>
      </c>
      <c r="Q138" s="10">
        <v>5.295694509345973E-11</v>
      </c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</row>
    <row r="139" spans="1:34" x14ac:dyDescent="0.3">
      <c r="A139" s="10" t="s">
        <v>78</v>
      </c>
      <c r="B139" s="10">
        <v>17</v>
      </c>
      <c r="C139" s="10">
        <v>6.5147254063201007E-3</v>
      </c>
      <c r="D139" s="10">
        <v>3.8321914154824119E-4</v>
      </c>
      <c r="E139" s="10"/>
      <c r="F139" s="10"/>
      <c r="L139" s="10" t="s">
        <v>78</v>
      </c>
      <c r="M139" s="10">
        <v>16</v>
      </c>
      <c r="N139" s="10">
        <v>5.1276539268121958E-3</v>
      </c>
      <c r="O139" s="10">
        <v>3.2047837042576224E-4</v>
      </c>
      <c r="P139" s="10"/>
      <c r="Q139" s="10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</row>
    <row r="140" spans="1:34" ht="15" thickBot="1" x14ac:dyDescent="0.35">
      <c r="A140" s="11" t="s">
        <v>79</v>
      </c>
      <c r="B140" s="11">
        <v>18</v>
      </c>
      <c r="C140" s="11">
        <v>9.8725272417473503E-2</v>
      </c>
      <c r="D140" s="11"/>
      <c r="E140" s="11"/>
      <c r="F140" s="11"/>
      <c r="L140" s="11" t="s">
        <v>79</v>
      </c>
      <c r="M140" s="11">
        <v>18</v>
      </c>
      <c r="N140" s="11">
        <v>9.8725272417473503E-2</v>
      </c>
      <c r="O140" s="11"/>
      <c r="P140" s="11"/>
      <c r="Q140" s="11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</row>
    <row r="141" spans="1:34" ht="15" thickBot="1" x14ac:dyDescent="0.35"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</row>
    <row r="142" spans="1:34" x14ac:dyDescent="0.3">
      <c r="A142" s="12"/>
      <c r="B142" s="12" t="s">
        <v>86</v>
      </c>
      <c r="C142" s="12" t="s">
        <v>69</v>
      </c>
      <c r="D142" s="12" t="s">
        <v>87</v>
      </c>
      <c r="E142" s="12" t="s">
        <v>88</v>
      </c>
      <c r="F142" s="12" t="s">
        <v>89</v>
      </c>
      <c r="G142" s="12" t="s">
        <v>90</v>
      </c>
      <c r="H142" s="12" t="s">
        <v>91</v>
      </c>
      <c r="I142" s="12" t="s">
        <v>92</v>
      </c>
      <c r="L142" s="12"/>
      <c r="M142" s="12" t="s">
        <v>86</v>
      </c>
      <c r="N142" s="12" t="s">
        <v>69</v>
      </c>
      <c r="O142" s="12" t="s">
        <v>87</v>
      </c>
      <c r="P142" s="12" t="s">
        <v>88</v>
      </c>
      <c r="Q142" s="12" t="s">
        <v>89</v>
      </c>
      <c r="R142" s="12" t="s">
        <v>90</v>
      </c>
      <c r="S142" s="12" t="s">
        <v>91</v>
      </c>
      <c r="T142" s="12" t="s">
        <v>92</v>
      </c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</row>
    <row r="143" spans="1:34" x14ac:dyDescent="0.3">
      <c r="A143" s="10" t="s">
        <v>80</v>
      </c>
      <c r="B143" s="10">
        <v>1.1782690839725052E-3</v>
      </c>
      <c r="C143" s="10">
        <v>1.2115417073128253E-2</v>
      </c>
      <c r="D143" s="10">
        <v>9.7253695589719469E-2</v>
      </c>
      <c r="E143" s="10">
        <v>0.92366233368041084</v>
      </c>
      <c r="F143" s="10">
        <v>-2.4383026588861215E-2</v>
      </c>
      <c r="G143" s="10">
        <v>2.6739564756806226E-2</v>
      </c>
      <c r="H143" s="10">
        <v>-2.4383026588861215E-2</v>
      </c>
      <c r="I143" s="10">
        <v>2.6739564756806226E-2</v>
      </c>
      <c r="L143" s="10" t="s">
        <v>80</v>
      </c>
      <c r="M143" s="10">
        <v>8.1462962746354246E-3</v>
      </c>
      <c r="N143" s="10">
        <v>1.1574541860851046E-2</v>
      </c>
      <c r="O143" s="10">
        <v>0.70381155233356674</v>
      </c>
      <c r="P143" s="10">
        <v>0.4916667909398813</v>
      </c>
      <c r="Q143" s="10">
        <v>-1.6390636352240952E-2</v>
      </c>
      <c r="R143" s="10">
        <v>3.2683228901511804E-2</v>
      </c>
      <c r="S143" s="10">
        <v>-1.6390636352240952E-2</v>
      </c>
      <c r="T143" s="10">
        <v>3.2683228901511804E-2</v>
      </c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</row>
    <row r="144" spans="1:34" ht="15" thickBot="1" x14ac:dyDescent="0.35">
      <c r="A144" s="11" t="s">
        <v>6</v>
      </c>
      <c r="B144" s="11">
        <v>-1.2648188025353424</v>
      </c>
      <c r="C144" s="11">
        <v>8.1538292153044714E-2</v>
      </c>
      <c r="D144" s="11">
        <v>-15.511960934395324</v>
      </c>
      <c r="E144" s="11">
        <v>1.8156441678037172E-11</v>
      </c>
      <c r="F144" s="11">
        <v>-1.4368495615097603</v>
      </c>
      <c r="G144" s="11">
        <v>-1.0927880435609245</v>
      </c>
      <c r="H144" s="11">
        <v>-1.4368495615097603</v>
      </c>
      <c r="I144" s="11">
        <v>-1.0927880435609245</v>
      </c>
      <c r="L144" s="10" t="s">
        <v>6</v>
      </c>
      <c r="M144" s="10">
        <v>-1.2203370084596861</v>
      </c>
      <c r="N144" s="10">
        <v>7.7570326397894976E-2</v>
      </c>
      <c r="O144" s="10">
        <v>-15.732008167659359</v>
      </c>
      <c r="P144" s="10">
        <v>3.7318182551753978E-11</v>
      </c>
      <c r="Q144" s="10">
        <v>-1.384778754452906</v>
      </c>
      <c r="R144" s="10">
        <v>-1.0558952624664661</v>
      </c>
      <c r="S144" s="10">
        <v>-1.384778754452906</v>
      </c>
      <c r="T144" s="10">
        <v>-1.0558952624664661</v>
      </c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</row>
    <row r="145" spans="1:34" ht="15" thickBot="1" x14ac:dyDescent="0.35">
      <c r="L145" s="11" t="s">
        <v>147</v>
      </c>
      <c r="M145" s="11">
        <v>-3.8339415327245103E-3</v>
      </c>
      <c r="N145" s="11">
        <v>1.842873081631719E-3</v>
      </c>
      <c r="O145" s="11">
        <v>-2.0804153964470831</v>
      </c>
      <c r="P145" s="11">
        <v>5.3916969290361806E-2</v>
      </c>
      <c r="Q145" s="11">
        <v>-7.7406579442677956E-3</v>
      </c>
      <c r="R145" s="11">
        <v>7.2774878818775406E-5</v>
      </c>
      <c r="S145" s="11">
        <v>-7.7406579442677956E-3</v>
      </c>
      <c r="T145" s="11">
        <v>7.2774878818775406E-5</v>
      </c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</row>
    <row r="146" spans="1:34" x14ac:dyDescent="0.3"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</row>
    <row r="147" spans="1:34" x14ac:dyDescent="0.3"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</row>
    <row r="148" spans="1:34" x14ac:dyDescent="0.3"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</row>
    <row r="149" spans="1:34" x14ac:dyDescent="0.3">
      <c r="A149" t="s">
        <v>123</v>
      </c>
      <c r="I149">
        <f>((C139-N139)/(M138-B138))/(N139/(B140+1-(M138+1)))</f>
        <v>4.3281282217740662</v>
      </c>
      <c r="K149" t="s">
        <v>292</v>
      </c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</row>
    <row r="150" spans="1:34" x14ac:dyDescent="0.3">
      <c r="A150" t="s">
        <v>124</v>
      </c>
      <c r="I150">
        <f>_xlfn.F.DIST.RT(I149,B139-M139,M139)</f>
        <v>5.3916969290361903E-2</v>
      </c>
    </row>
    <row r="151" spans="1:34" x14ac:dyDescent="0.3">
      <c r="A151" t="s">
        <v>125</v>
      </c>
    </row>
    <row r="152" spans="1:34" x14ac:dyDescent="0.3">
      <c r="A152" t="s">
        <v>307</v>
      </c>
    </row>
    <row r="156" spans="1:34" x14ac:dyDescent="0.3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spans="1:34" x14ac:dyDescent="0.3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spans="1:34" x14ac:dyDescent="0.3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spans="1:34" x14ac:dyDescent="0.3">
      <c r="A159" s="24"/>
      <c r="B159" s="24"/>
      <c r="C159" s="7"/>
      <c r="D159" s="7"/>
      <c r="E159" s="7"/>
      <c r="F159" s="7"/>
      <c r="G159" s="7"/>
      <c r="H159" s="7"/>
      <c r="I159" s="7"/>
      <c r="J159" s="7"/>
    </row>
    <row r="160" spans="1:34" x14ac:dyDescent="0.3">
      <c r="A160" s="10"/>
      <c r="B160" s="10"/>
      <c r="C160" s="7"/>
      <c r="D160" s="7"/>
      <c r="E160" s="7"/>
      <c r="F160" s="7"/>
      <c r="G160" s="7"/>
      <c r="H160" s="7"/>
      <c r="I160" s="7"/>
      <c r="J160" s="7"/>
    </row>
    <row r="161" spans="1:10" x14ac:dyDescent="0.3">
      <c r="A161" s="10"/>
      <c r="B161" s="10"/>
      <c r="C161" s="7"/>
      <c r="D161" s="7"/>
      <c r="E161" s="7"/>
      <c r="F161" s="7"/>
      <c r="G161" s="7"/>
      <c r="H161" s="7"/>
      <c r="I161" s="7"/>
      <c r="J161" s="7"/>
    </row>
    <row r="162" spans="1:10" x14ac:dyDescent="0.3">
      <c r="A162" s="10"/>
      <c r="B162" s="10"/>
      <c r="C162" s="7"/>
      <c r="D162" s="7"/>
      <c r="E162" s="7"/>
      <c r="F162" s="7"/>
      <c r="G162" s="7"/>
      <c r="H162" s="7"/>
      <c r="I162" s="7"/>
      <c r="J162" s="7"/>
    </row>
    <row r="163" spans="1:10" x14ac:dyDescent="0.3">
      <c r="A163" s="10"/>
      <c r="B163" s="10"/>
      <c r="C163" s="7"/>
      <c r="D163" s="7"/>
      <c r="E163" s="7"/>
      <c r="F163" s="7"/>
      <c r="G163" s="7"/>
      <c r="H163" s="7"/>
      <c r="I163" s="7"/>
      <c r="J163" s="7"/>
    </row>
    <row r="164" spans="1:10" x14ac:dyDescent="0.3">
      <c r="A164" s="10"/>
      <c r="B164" s="10"/>
      <c r="C164" s="7"/>
      <c r="D164" s="7"/>
      <c r="E164" s="7"/>
      <c r="F164" s="7"/>
      <c r="G164" s="7"/>
      <c r="H164" s="7"/>
      <c r="I164" s="7"/>
      <c r="J164" s="7"/>
    </row>
    <row r="165" spans="1:10" x14ac:dyDescent="0.3">
      <c r="A165" s="7"/>
      <c r="B165" s="7"/>
      <c r="C165" s="7"/>
      <c r="D165" s="7"/>
      <c r="E165" s="7"/>
      <c r="F165" s="7"/>
      <c r="G165" s="7"/>
      <c r="H165" s="7"/>
      <c r="I165" s="7"/>
      <c r="J165" s="7"/>
    </row>
    <row r="166" spans="1:10" x14ac:dyDescent="0.3">
      <c r="A166" s="7"/>
      <c r="B166" s="7"/>
      <c r="C166" s="7"/>
      <c r="D166" s="7"/>
      <c r="E166" s="7"/>
      <c r="F166" s="7"/>
      <c r="G166" s="7"/>
      <c r="H166" s="7"/>
      <c r="I166" s="7"/>
      <c r="J166" s="7"/>
    </row>
    <row r="167" spans="1:10" x14ac:dyDescent="0.3">
      <c r="A167" s="25"/>
      <c r="B167" s="25"/>
      <c r="C167" s="25"/>
      <c r="D167" s="25"/>
      <c r="E167" s="25"/>
      <c r="F167" s="25"/>
      <c r="G167" s="7"/>
      <c r="H167" s="7"/>
      <c r="I167" s="7"/>
      <c r="J167" s="7"/>
    </row>
    <row r="168" spans="1:10" x14ac:dyDescent="0.3">
      <c r="A168" s="10"/>
      <c r="B168" s="10"/>
      <c r="C168" s="10"/>
      <c r="D168" s="10"/>
      <c r="E168" s="10"/>
      <c r="F168" s="10"/>
      <c r="G168" s="7"/>
      <c r="H168" s="7"/>
      <c r="I168" s="7"/>
      <c r="J168" s="7"/>
    </row>
    <row r="169" spans="1:10" x14ac:dyDescent="0.3">
      <c r="A169" s="10"/>
      <c r="B169" s="10"/>
      <c r="C169" s="10"/>
      <c r="D169" s="10"/>
      <c r="E169" s="10"/>
      <c r="F169" s="10"/>
      <c r="G169" s="7"/>
      <c r="H169" s="7"/>
      <c r="I169" s="7"/>
      <c r="J169" s="7"/>
    </row>
    <row r="170" spans="1:10" x14ac:dyDescent="0.3">
      <c r="A170" s="10"/>
      <c r="B170" s="10"/>
      <c r="C170" s="10"/>
      <c r="D170" s="10"/>
      <c r="E170" s="10"/>
      <c r="F170" s="10"/>
      <c r="G170" s="7"/>
      <c r="H170" s="7"/>
      <c r="I170" s="7"/>
      <c r="J170" s="7"/>
    </row>
    <row r="171" spans="1:10" x14ac:dyDescent="0.3">
      <c r="A171" s="7"/>
      <c r="B171" s="7"/>
      <c r="C171" s="7"/>
      <c r="D171" s="7"/>
      <c r="E171" s="7"/>
      <c r="F171" s="7"/>
      <c r="G171" s="7"/>
      <c r="H171" s="7"/>
      <c r="I171" s="7"/>
      <c r="J171" s="7"/>
    </row>
    <row r="172" spans="1:10" x14ac:dyDescent="0.3">
      <c r="A172" s="25"/>
      <c r="B172" s="25"/>
      <c r="C172" s="25"/>
      <c r="D172" s="25"/>
      <c r="E172" s="25"/>
      <c r="F172" s="25"/>
      <c r="G172" s="25"/>
      <c r="H172" s="25"/>
      <c r="I172" s="25"/>
      <c r="J172" s="7"/>
    </row>
    <row r="173" spans="1:10" x14ac:dyDescent="0.3">
      <c r="A173" s="10"/>
      <c r="B173" s="10"/>
      <c r="C173" s="10"/>
      <c r="D173" s="10"/>
      <c r="E173" s="10"/>
      <c r="F173" s="10"/>
      <c r="G173" s="10"/>
      <c r="H173" s="10"/>
      <c r="I173" s="10"/>
      <c r="J173" s="7"/>
    </row>
    <row r="174" spans="1:10" x14ac:dyDescent="0.3">
      <c r="A174" s="10"/>
      <c r="B174" s="10"/>
      <c r="C174" s="10"/>
      <c r="D174" s="10"/>
      <c r="E174" s="10"/>
      <c r="F174" s="10"/>
      <c r="G174" s="10"/>
      <c r="H174" s="10"/>
      <c r="I174" s="10"/>
      <c r="J174" s="7"/>
    </row>
    <row r="175" spans="1:10" x14ac:dyDescent="0.3">
      <c r="A175" s="10"/>
      <c r="B175" s="10"/>
      <c r="C175" s="10"/>
      <c r="D175" s="10"/>
      <c r="E175" s="10"/>
      <c r="F175" s="10"/>
      <c r="G175" s="10"/>
      <c r="H175" s="10"/>
      <c r="I175" s="10"/>
      <c r="J175" s="7"/>
    </row>
    <row r="176" spans="1:10" x14ac:dyDescent="0.3">
      <c r="A176" s="10"/>
      <c r="B176" s="10"/>
      <c r="C176" s="10"/>
      <c r="D176" s="10"/>
      <c r="E176" s="10"/>
      <c r="F176" s="10"/>
      <c r="G176" s="10"/>
      <c r="H176" s="10"/>
      <c r="I176" s="10"/>
      <c r="J176" s="7"/>
    </row>
    <row r="177" spans="1:10" x14ac:dyDescent="0.3">
      <c r="A177" s="7"/>
      <c r="B177" s="7"/>
      <c r="C177" s="7"/>
      <c r="D177" s="7"/>
      <c r="E177" s="7"/>
      <c r="F177" s="7"/>
      <c r="G177" s="7"/>
      <c r="H177" s="7"/>
      <c r="I177" s="7"/>
      <c r="J177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8"/>
  <sheetViews>
    <sheetView topLeftCell="A175" workbookViewId="0">
      <selection activeCell="J194" sqref="J194"/>
    </sheetView>
  </sheetViews>
  <sheetFormatPr defaultRowHeight="14.4" x14ac:dyDescent="0.3"/>
  <sheetData>
    <row r="1" spans="1:32" x14ac:dyDescent="0.3">
      <c r="A1" t="s">
        <v>131</v>
      </c>
      <c r="I1" t="s">
        <v>133</v>
      </c>
    </row>
    <row r="2" spans="1:32" x14ac:dyDescent="0.3">
      <c r="A2" t="s">
        <v>132</v>
      </c>
      <c r="I2" t="s">
        <v>134</v>
      </c>
    </row>
    <row r="5" spans="1:32" s="2" customFormat="1" x14ac:dyDescent="0.3">
      <c r="A5" s="2" t="s">
        <v>49</v>
      </c>
      <c r="B5" s="2" t="s">
        <v>135</v>
      </c>
      <c r="C5" s="2" t="s">
        <v>136</v>
      </c>
      <c r="D5" s="2" t="s">
        <v>137</v>
      </c>
      <c r="E5" s="2" t="s">
        <v>138</v>
      </c>
      <c r="F5" s="2" t="s">
        <v>139</v>
      </c>
      <c r="G5" s="2" t="s">
        <v>140</v>
      </c>
      <c r="H5" s="2" t="s">
        <v>284</v>
      </c>
      <c r="I5" s="2" t="s">
        <v>141</v>
      </c>
      <c r="AA5" s="2" t="s">
        <v>152</v>
      </c>
      <c r="AB5" s="2" t="s">
        <v>138</v>
      </c>
      <c r="AC5" s="2" t="s">
        <v>153</v>
      </c>
      <c r="AE5" s="2" t="s">
        <v>152</v>
      </c>
      <c r="AF5" s="2" t="s">
        <v>153</v>
      </c>
    </row>
    <row r="6" spans="1:32" x14ac:dyDescent="0.3">
      <c r="A6">
        <v>7.1999999999999995E-2</v>
      </c>
      <c r="B6">
        <v>9.4</v>
      </c>
      <c r="C6">
        <v>4.8000000000000001E-2</v>
      </c>
      <c r="D6">
        <v>0</v>
      </c>
      <c r="E6">
        <v>4.75</v>
      </c>
      <c r="F6">
        <v>4.37</v>
      </c>
      <c r="G6">
        <v>1.5</v>
      </c>
      <c r="H6">
        <f>(B6-C6)/G6*A6</f>
        <v>0.44889599999999996</v>
      </c>
      <c r="I6">
        <f>(E6-D6)/G6*A6</f>
        <v>0.22799999999999998</v>
      </c>
      <c r="AA6">
        <v>7.1999999999999995E-2</v>
      </c>
      <c r="AB6">
        <v>4.75</v>
      </c>
      <c r="AC6">
        <f>AA6*AB6</f>
        <v>0.34199999999999997</v>
      </c>
      <c r="AE6">
        <v>7.1999999999999995E-2</v>
      </c>
      <c r="AF6">
        <f>AA6*AB6</f>
        <v>0.34199999999999997</v>
      </c>
    </row>
    <row r="7" spans="1:32" x14ac:dyDescent="0.3">
      <c r="A7">
        <v>0.192</v>
      </c>
      <c r="B7">
        <v>9.4</v>
      </c>
      <c r="C7">
        <v>0.23</v>
      </c>
      <c r="D7">
        <v>0</v>
      </c>
      <c r="E7">
        <v>4.5999999999999996</v>
      </c>
      <c r="F7">
        <v>4.37</v>
      </c>
      <c r="G7">
        <v>1.4</v>
      </c>
      <c r="H7">
        <f t="shared" ref="H7:H10" si="0">(B7-C7)/G7*A7</f>
        <v>1.2576000000000003</v>
      </c>
      <c r="I7">
        <f t="shared" ref="I7:I25" si="1">(E7-D7)/G7*A7</f>
        <v>0.63085714285714289</v>
      </c>
      <c r="AA7">
        <v>0.192</v>
      </c>
      <c r="AB7">
        <v>4.5999999999999996</v>
      </c>
      <c r="AC7">
        <f t="shared" ref="AC7:AC10" si="2">AA7*AB7</f>
        <v>0.88319999999999999</v>
      </c>
      <c r="AE7">
        <v>0.192</v>
      </c>
      <c r="AF7">
        <f t="shared" ref="AF7:AF25" si="3">AA7*AB7</f>
        <v>0.88319999999999999</v>
      </c>
    </row>
    <row r="8" spans="1:32" x14ac:dyDescent="0.3">
      <c r="A8">
        <v>0.26400000000000001</v>
      </c>
      <c r="B8">
        <v>9.4</v>
      </c>
      <c r="C8">
        <v>0.375</v>
      </c>
      <c r="D8">
        <v>0</v>
      </c>
      <c r="E8">
        <v>4.75</v>
      </c>
      <c r="F8">
        <v>4.37</v>
      </c>
      <c r="G8">
        <v>1.27</v>
      </c>
      <c r="H8">
        <f t="shared" si="0"/>
        <v>1.8760629921259844</v>
      </c>
      <c r="I8">
        <f t="shared" si="1"/>
        <v>0.98740157480314961</v>
      </c>
      <c r="AA8">
        <v>0.26400000000000001</v>
      </c>
      <c r="AB8">
        <v>4.75</v>
      </c>
      <c r="AC8">
        <f t="shared" si="2"/>
        <v>1.254</v>
      </c>
      <c r="AE8">
        <v>0.26400000000000001</v>
      </c>
      <c r="AF8">
        <f t="shared" si="3"/>
        <v>1.254</v>
      </c>
    </row>
    <row r="9" spans="1:32" x14ac:dyDescent="0.3">
      <c r="A9">
        <v>0.27</v>
      </c>
      <c r="B9">
        <v>9.4</v>
      </c>
      <c r="C9">
        <v>0.4</v>
      </c>
      <c r="D9">
        <v>0</v>
      </c>
      <c r="E9">
        <v>4.75</v>
      </c>
      <c r="F9">
        <v>4.37</v>
      </c>
      <c r="G9">
        <v>1.28</v>
      </c>
      <c r="H9">
        <f t="shared" si="0"/>
        <v>1.8984375000000002</v>
      </c>
      <c r="I9">
        <f t="shared" si="1"/>
        <v>1.001953125</v>
      </c>
      <c r="AA9">
        <v>0.27</v>
      </c>
      <c r="AB9">
        <v>4.75</v>
      </c>
      <c r="AC9">
        <f t="shared" si="2"/>
        <v>1.2825000000000002</v>
      </c>
      <c r="AE9">
        <v>0.27</v>
      </c>
      <c r="AF9">
        <f t="shared" si="3"/>
        <v>1.2825000000000002</v>
      </c>
    </row>
    <row r="10" spans="1:32" x14ac:dyDescent="0.3">
      <c r="A10">
        <v>0.42</v>
      </c>
      <c r="B10">
        <v>9.4</v>
      </c>
      <c r="C10">
        <v>4.5</v>
      </c>
      <c r="D10">
        <v>0</v>
      </c>
      <c r="E10">
        <v>3</v>
      </c>
      <c r="F10">
        <v>4.37</v>
      </c>
      <c r="G10">
        <v>0.69</v>
      </c>
      <c r="H10">
        <f t="shared" si="0"/>
        <v>2.9826086956521745</v>
      </c>
      <c r="I10">
        <f t="shared" si="1"/>
        <v>1.8260869565217392</v>
      </c>
      <c r="AA10">
        <v>0.42</v>
      </c>
      <c r="AB10">
        <v>3</v>
      </c>
      <c r="AC10">
        <f t="shared" si="2"/>
        <v>1.26</v>
      </c>
      <c r="AE10">
        <v>0.42</v>
      </c>
      <c r="AF10">
        <f t="shared" si="3"/>
        <v>1.26</v>
      </c>
    </row>
    <row r="11" spans="1:32" x14ac:dyDescent="0.3">
      <c r="A11">
        <v>0.06</v>
      </c>
      <c r="B11">
        <v>9.0500000000000007</v>
      </c>
      <c r="C11">
        <v>4.4999999999999998E-2</v>
      </c>
      <c r="D11">
        <v>26.22</v>
      </c>
      <c r="E11">
        <v>30.78</v>
      </c>
      <c r="F11">
        <v>29.19</v>
      </c>
      <c r="G11">
        <v>1.38</v>
      </c>
      <c r="H11">
        <f t="shared" ref="H11:H15" si="4">(B11-C11)/G11*A11</f>
        <v>0.39152173913043486</v>
      </c>
      <c r="I11">
        <f t="shared" si="1"/>
        <v>0.19826086956521749</v>
      </c>
      <c r="AA11">
        <v>0.06</v>
      </c>
      <c r="AB11">
        <v>30.78</v>
      </c>
      <c r="AC11">
        <f t="shared" ref="AC11:AC15" si="5">AA11*AB11</f>
        <v>1.8468</v>
      </c>
      <c r="AE11">
        <v>0.06</v>
      </c>
      <c r="AF11">
        <f t="shared" si="3"/>
        <v>1.8468</v>
      </c>
    </row>
    <row r="12" spans="1:32" x14ac:dyDescent="0.3">
      <c r="A12">
        <v>0.13200000000000001</v>
      </c>
      <c r="B12">
        <v>9.0500000000000007</v>
      </c>
      <c r="C12">
        <v>0.122</v>
      </c>
      <c r="D12">
        <v>26.22</v>
      </c>
      <c r="E12">
        <v>30.78</v>
      </c>
      <c r="F12">
        <v>29.19</v>
      </c>
      <c r="G12">
        <v>1.25</v>
      </c>
      <c r="H12">
        <f t="shared" si="4"/>
        <v>0.9427968000000001</v>
      </c>
      <c r="I12">
        <f t="shared" si="1"/>
        <v>0.4815360000000003</v>
      </c>
      <c r="AA12">
        <v>0.13200000000000001</v>
      </c>
      <c r="AB12">
        <v>30.78</v>
      </c>
      <c r="AC12">
        <f t="shared" si="5"/>
        <v>4.0629600000000003</v>
      </c>
      <c r="AE12">
        <v>0.13200000000000001</v>
      </c>
      <c r="AF12">
        <f t="shared" si="3"/>
        <v>4.0629600000000003</v>
      </c>
    </row>
    <row r="13" spans="1:32" x14ac:dyDescent="0.3">
      <c r="A13">
        <v>0.252</v>
      </c>
      <c r="B13">
        <v>9.0500000000000007</v>
      </c>
      <c r="C13">
        <v>0.47699999999999998</v>
      </c>
      <c r="D13">
        <v>26.22</v>
      </c>
      <c r="E13">
        <v>30.01</v>
      </c>
      <c r="F13">
        <v>29.19</v>
      </c>
      <c r="G13">
        <v>0.92</v>
      </c>
      <c r="H13">
        <f t="shared" si="4"/>
        <v>2.3482565217391302</v>
      </c>
      <c r="I13">
        <f t="shared" si="1"/>
        <v>1.0381304347826095</v>
      </c>
      <c r="AA13">
        <v>0.252</v>
      </c>
      <c r="AB13">
        <v>30.01</v>
      </c>
      <c r="AC13">
        <f t="shared" si="5"/>
        <v>7.5625200000000001</v>
      </c>
      <c r="AE13">
        <v>0.252</v>
      </c>
      <c r="AF13">
        <f t="shared" si="3"/>
        <v>7.5625200000000001</v>
      </c>
    </row>
    <row r="14" spans="1:32" x14ac:dyDescent="0.3">
      <c r="A14">
        <v>0.312</v>
      </c>
      <c r="B14">
        <v>9.0500000000000007</v>
      </c>
      <c r="C14">
        <v>5.34</v>
      </c>
      <c r="D14">
        <v>26.22</v>
      </c>
      <c r="E14">
        <v>28.05</v>
      </c>
      <c r="F14">
        <v>29.19</v>
      </c>
      <c r="G14">
        <v>0.46</v>
      </c>
      <c r="H14">
        <f t="shared" si="4"/>
        <v>2.5163478260869572</v>
      </c>
      <c r="I14">
        <f t="shared" si="1"/>
        <v>1.2412173913043489</v>
      </c>
      <c r="AA14">
        <v>0.312</v>
      </c>
      <c r="AB14">
        <v>28.05</v>
      </c>
      <c r="AC14">
        <f t="shared" si="5"/>
        <v>8.7515999999999998</v>
      </c>
      <c r="AE14">
        <v>0.312</v>
      </c>
      <c r="AF14">
        <f t="shared" si="3"/>
        <v>8.7515999999999998</v>
      </c>
    </row>
    <row r="15" spans="1:32" x14ac:dyDescent="0.3">
      <c r="A15">
        <v>0.376</v>
      </c>
      <c r="B15">
        <v>9.0500000000000007</v>
      </c>
      <c r="C15">
        <v>6.76</v>
      </c>
      <c r="D15">
        <v>26.22</v>
      </c>
      <c r="E15">
        <v>26.35</v>
      </c>
      <c r="F15">
        <v>29.19</v>
      </c>
      <c r="G15">
        <v>0.18</v>
      </c>
      <c r="H15">
        <f t="shared" si="4"/>
        <v>4.7835555555555578</v>
      </c>
      <c r="I15">
        <f t="shared" si="1"/>
        <v>0.27155555555556088</v>
      </c>
      <c r="AA15">
        <v>0.376</v>
      </c>
      <c r="AB15">
        <v>26.35</v>
      </c>
      <c r="AC15">
        <f t="shared" si="5"/>
        <v>9.9076000000000004</v>
      </c>
      <c r="AE15">
        <v>0.376</v>
      </c>
      <c r="AF15">
        <f t="shared" si="3"/>
        <v>9.9076000000000004</v>
      </c>
    </row>
    <row r="16" spans="1:32" x14ac:dyDescent="0.3">
      <c r="A16">
        <v>7.2999999999999995E-2</v>
      </c>
      <c r="B16">
        <v>8.35</v>
      </c>
      <c r="C16">
        <v>8.6999999999999994E-2</v>
      </c>
      <c r="D16">
        <v>58.54</v>
      </c>
      <c r="E16">
        <v>62.99</v>
      </c>
      <c r="F16">
        <v>61.29</v>
      </c>
      <c r="G16">
        <v>1.18</v>
      </c>
      <c r="H16">
        <f t="shared" ref="H16:H19" si="6">(B16-C16)/G16*A16</f>
        <v>0.51118559322033896</v>
      </c>
      <c r="I16">
        <f t="shared" si="1"/>
        <v>0.2752966101694917</v>
      </c>
      <c r="AA16">
        <v>7.2999999999999995E-2</v>
      </c>
      <c r="AB16">
        <v>62.99</v>
      </c>
      <c r="AC16">
        <f t="shared" ref="AC16:AC19" si="7">AA16*AB16</f>
        <v>4.5982700000000003</v>
      </c>
      <c r="AE16">
        <v>7.2999999999999995E-2</v>
      </c>
      <c r="AF16">
        <f t="shared" si="3"/>
        <v>4.5982700000000003</v>
      </c>
    </row>
    <row r="17" spans="1:32" x14ac:dyDescent="0.3">
      <c r="A17">
        <v>0.13800000000000001</v>
      </c>
      <c r="B17">
        <v>8.35</v>
      </c>
      <c r="C17">
        <v>0.27</v>
      </c>
      <c r="D17">
        <v>58.54</v>
      </c>
      <c r="E17">
        <v>62.12</v>
      </c>
      <c r="F17">
        <v>61.29</v>
      </c>
      <c r="G17">
        <v>1.03</v>
      </c>
      <c r="H17">
        <f t="shared" si="6"/>
        <v>1.0825631067961166</v>
      </c>
      <c r="I17">
        <f t="shared" si="1"/>
        <v>0.47965048543689304</v>
      </c>
      <c r="AA17">
        <v>0.13800000000000001</v>
      </c>
      <c r="AB17">
        <v>62.12</v>
      </c>
      <c r="AC17">
        <f t="shared" si="7"/>
        <v>8.5725600000000011</v>
      </c>
      <c r="AE17">
        <v>0.13800000000000001</v>
      </c>
      <c r="AF17">
        <f t="shared" si="3"/>
        <v>8.5725600000000011</v>
      </c>
    </row>
    <row r="18" spans="1:32" x14ac:dyDescent="0.3">
      <c r="A18">
        <v>0.20200000000000001</v>
      </c>
      <c r="B18">
        <v>8.35</v>
      </c>
      <c r="C18">
        <v>0.47</v>
      </c>
      <c r="D18">
        <v>58.54</v>
      </c>
      <c r="E18">
        <v>60.74</v>
      </c>
      <c r="F18">
        <v>61.29</v>
      </c>
      <c r="G18">
        <v>0.68</v>
      </c>
      <c r="H18">
        <f t="shared" si="6"/>
        <v>2.340823529411765</v>
      </c>
      <c r="I18">
        <f t="shared" si="1"/>
        <v>0.65352941176470669</v>
      </c>
      <c r="AA18">
        <v>0.20200000000000001</v>
      </c>
      <c r="AB18">
        <v>60.74</v>
      </c>
      <c r="AC18">
        <f t="shared" si="7"/>
        <v>12.269480000000001</v>
      </c>
      <c r="AE18">
        <v>0.20200000000000001</v>
      </c>
      <c r="AF18">
        <f t="shared" si="3"/>
        <v>12.269480000000001</v>
      </c>
    </row>
    <row r="19" spans="1:32" x14ac:dyDescent="0.3">
      <c r="A19">
        <v>0.25800000000000001</v>
      </c>
      <c r="B19">
        <v>8.35</v>
      </c>
      <c r="C19">
        <v>5.0999999999999996</v>
      </c>
      <c r="D19">
        <v>58.54</v>
      </c>
      <c r="E19">
        <v>59.29</v>
      </c>
      <c r="F19">
        <v>61.29</v>
      </c>
      <c r="G19">
        <v>0.28000000000000003</v>
      </c>
      <c r="H19">
        <f t="shared" si="6"/>
        <v>2.9946428571428569</v>
      </c>
      <c r="I19">
        <f t="shared" si="1"/>
        <v>0.69107142857142856</v>
      </c>
      <c r="AA19">
        <v>0.25800000000000001</v>
      </c>
      <c r="AB19">
        <v>59.29</v>
      </c>
      <c r="AC19">
        <f t="shared" si="7"/>
        <v>15.29682</v>
      </c>
      <c r="AE19">
        <v>0.25800000000000001</v>
      </c>
      <c r="AF19">
        <f t="shared" si="3"/>
        <v>15.29682</v>
      </c>
    </row>
    <row r="20" spans="1:32" x14ac:dyDescent="0.3">
      <c r="A20">
        <v>3.7999999999999999E-2</v>
      </c>
      <c r="B20">
        <v>9.1</v>
      </c>
      <c r="C20">
        <v>8.3000000000000004E-2</v>
      </c>
      <c r="D20">
        <v>78.3</v>
      </c>
      <c r="E20">
        <v>82.4</v>
      </c>
      <c r="F20">
        <v>81.3</v>
      </c>
      <c r="G20">
        <v>1.1000000000000001</v>
      </c>
      <c r="H20">
        <f t="shared" ref="H20:H25" si="8">(B20-C20)/G20*A20</f>
        <v>0.31149636363636357</v>
      </c>
      <c r="I20">
        <f t="shared" si="1"/>
        <v>0.14163636363636392</v>
      </c>
      <c r="AA20">
        <v>3.7999999999999999E-2</v>
      </c>
      <c r="AB20">
        <v>82.4</v>
      </c>
      <c r="AC20">
        <f t="shared" ref="AC20:AC25" si="9">AA20*AB20</f>
        <v>3.1312000000000002</v>
      </c>
      <c r="AE20">
        <v>3.7999999999999999E-2</v>
      </c>
      <c r="AF20">
        <f t="shared" si="3"/>
        <v>3.1312000000000002</v>
      </c>
    </row>
    <row r="21" spans="1:32" x14ac:dyDescent="0.3">
      <c r="A21">
        <v>6.9000000000000006E-2</v>
      </c>
      <c r="B21">
        <v>9.1</v>
      </c>
      <c r="C21">
        <v>0.23</v>
      </c>
      <c r="D21">
        <v>78.3</v>
      </c>
      <c r="E21">
        <v>82.25</v>
      </c>
      <c r="F21">
        <v>81.3</v>
      </c>
      <c r="G21">
        <v>0.78</v>
      </c>
      <c r="H21">
        <f t="shared" si="8"/>
        <v>0.78465384615384615</v>
      </c>
      <c r="I21">
        <f t="shared" si="1"/>
        <v>0.34942307692307717</v>
      </c>
      <c r="AA21">
        <v>6.9000000000000006E-2</v>
      </c>
      <c r="AB21">
        <v>82.25</v>
      </c>
      <c r="AC21">
        <f t="shared" si="9"/>
        <v>5.6752500000000001</v>
      </c>
      <c r="AE21">
        <v>6.9000000000000006E-2</v>
      </c>
      <c r="AF21">
        <f t="shared" si="3"/>
        <v>5.6752500000000001</v>
      </c>
    </row>
    <row r="22" spans="1:32" x14ac:dyDescent="0.3">
      <c r="A22">
        <v>7.3999999999999996E-2</v>
      </c>
      <c r="B22">
        <v>9.1</v>
      </c>
      <c r="C22">
        <v>0.27</v>
      </c>
      <c r="D22">
        <v>78.3</v>
      </c>
      <c r="E22">
        <v>82.25</v>
      </c>
      <c r="F22">
        <v>81.3</v>
      </c>
      <c r="G22">
        <v>0.9</v>
      </c>
      <c r="H22">
        <f t="shared" si="8"/>
        <v>0.72602222222222224</v>
      </c>
      <c r="I22">
        <f t="shared" si="1"/>
        <v>0.324777777777778</v>
      </c>
      <c r="AA22">
        <v>7.3999999999999996E-2</v>
      </c>
      <c r="AB22">
        <v>82.25</v>
      </c>
      <c r="AC22">
        <f t="shared" si="9"/>
        <v>6.0865</v>
      </c>
      <c r="AE22">
        <v>7.3999999999999996E-2</v>
      </c>
      <c r="AF22">
        <f t="shared" si="3"/>
        <v>6.0865</v>
      </c>
    </row>
    <row r="23" spans="1:32" x14ac:dyDescent="0.3">
      <c r="A23">
        <v>9.6000000000000002E-2</v>
      </c>
      <c r="B23">
        <v>9.1</v>
      </c>
      <c r="C23">
        <v>0.48</v>
      </c>
      <c r="D23">
        <v>78.3</v>
      </c>
      <c r="E23">
        <v>80.900000000000006</v>
      </c>
      <c r="F23">
        <v>81.3</v>
      </c>
      <c r="G23">
        <v>0.54</v>
      </c>
      <c r="H23">
        <f t="shared" si="8"/>
        <v>1.5324444444444443</v>
      </c>
      <c r="I23">
        <f t="shared" si="1"/>
        <v>0.4622222222222237</v>
      </c>
      <c r="AA23">
        <v>9.6000000000000002E-2</v>
      </c>
      <c r="AB23">
        <v>80.900000000000006</v>
      </c>
      <c r="AC23">
        <f t="shared" si="9"/>
        <v>7.7664000000000009</v>
      </c>
      <c r="AE23">
        <v>9.6000000000000002E-2</v>
      </c>
      <c r="AF23">
        <f t="shared" si="3"/>
        <v>7.7664000000000009</v>
      </c>
    </row>
    <row r="24" spans="1:32" x14ac:dyDescent="0.3">
      <c r="A24">
        <v>0.10100000000000001</v>
      </c>
      <c r="B24">
        <v>9.1</v>
      </c>
      <c r="C24">
        <v>0.48</v>
      </c>
      <c r="D24">
        <v>78.3</v>
      </c>
      <c r="E24">
        <v>80.900000000000006</v>
      </c>
      <c r="F24">
        <v>81.3</v>
      </c>
      <c r="G24">
        <v>0.39</v>
      </c>
      <c r="H24">
        <f t="shared" si="8"/>
        <v>2.232358974358974</v>
      </c>
      <c r="I24">
        <f t="shared" si="1"/>
        <v>0.67333333333333556</v>
      </c>
      <c r="AA24">
        <v>0.10100000000000001</v>
      </c>
      <c r="AB24">
        <v>80.900000000000006</v>
      </c>
      <c r="AC24">
        <f t="shared" si="9"/>
        <v>8.1709000000000014</v>
      </c>
      <c r="AE24">
        <v>0.10100000000000001</v>
      </c>
      <c r="AF24">
        <f t="shared" si="3"/>
        <v>8.1709000000000014</v>
      </c>
    </row>
    <row r="25" spans="1:32" x14ac:dyDescent="0.3">
      <c r="A25">
        <v>0.13800000000000001</v>
      </c>
      <c r="B25">
        <v>9.1</v>
      </c>
      <c r="C25">
        <v>6</v>
      </c>
      <c r="D25">
        <v>78.3</v>
      </c>
      <c r="E25">
        <v>79.099999999999994</v>
      </c>
      <c r="F25">
        <v>81.3</v>
      </c>
      <c r="G25">
        <v>0.13</v>
      </c>
      <c r="H25">
        <f t="shared" si="8"/>
        <v>3.2907692307692304</v>
      </c>
      <c r="I25">
        <f t="shared" si="1"/>
        <v>0.84923076923076624</v>
      </c>
      <c r="AA25">
        <v>0.13800000000000001</v>
      </c>
      <c r="AB25">
        <v>79.099999999999994</v>
      </c>
      <c r="AC25">
        <f t="shared" si="9"/>
        <v>10.915800000000001</v>
      </c>
      <c r="AE25">
        <v>0.13800000000000001</v>
      </c>
      <c r="AF25">
        <f t="shared" si="3"/>
        <v>10.915800000000001</v>
      </c>
    </row>
    <row r="58" spans="1:4" x14ac:dyDescent="0.3">
      <c r="A58" t="s">
        <v>142</v>
      </c>
    </row>
    <row r="60" spans="1:4" x14ac:dyDescent="0.3">
      <c r="A60" t="s">
        <v>138</v>
      </c>
      <c r="B60" t="s">
        <v>13</v>
      </c>
      <c r="C60" t="s">
        <v>143</v>
      </c>
      <c r="D60" t="s">
        <v>144</v>
      </c>
    </row>
    <row r="61" spans="1:4" x14ac:dyDescent="0.3">
      <c r="A61">
        <v>4.37</v>
      </c>
      <c r="B61">
        <v>-9.6600000000000005E-2</v>
      </c>
      <c r="C61">
        <v>7.3453999999999997</v>
      </c>
      <c r="D61">
        <f>1/C61</f>
        <v>0.13613962479919406</v>
      </c>
    </row>
    <row r="62" spans="1:4" x14ac:dyDescent="0.3">
      <c r="A62">
        <v>29.19</v>
      </c>
      <c r="B62">
        <v>-0.63329999999999997</v>
      </c>
      <c r="C62">
        <v>12.499000000000001</v>
      </c>
      <c r="D62">
        <f t="shared" ref="D62:D64" si="10">1/C62</f>
        <v>8.0006400512040957E-2</v>
      </c>
    </row>
    <row r="63" spans="1:4" x14ac:dyDescent="0.3">
      <c r="A63">
        <v>61.29</v>
      </c>
      <c r="B63">
        <v>-0.62729999999999997</v>
      </c>
      <c r="C63">
        <v>14.066000000000001</v>
      </c>
      <c r="D63">
        <f t="shared" si="10"/>
        <v>7.1093416749608979E-2</v>
      </c>
    </row>
    <row r="64" spans="1:4" x14ac:dyDescent="0.3">
      <c r="A64">
        <v>78.400000000000006</v>
      </c>
      <c r="B64">
        <v>-1.2486999999999999</v>
      </c>
      <c r="C64">
        <v>31.725000000000001</v>
      </c>
      <c r="D64">
        <f t="shared" si="10"/>
        <v>3.1520882584712369E-2</v>
      </c>
    </row>
    <row r="68" spans="1:13" x14ac:dyDescent="0.3">
      <c r="D68">
        <f>D64/D61</f>
        <v>0.23153349093774622</v>
      </c>
    </row>
    <row r="77" spans="1:13" x14ac:dyDescent="0.3">
      <c r="A77" t="s">
        <v>127</v>
      </c>
      <c r="L77" t="s">
        <v>128</v>
      </c>
    </row>
    <row r="78" spans="1:13" x14ac:dyDescent="0.3">
      <c r="A78" t="s">
        <v>70</v>
      </c>
      <c r="L78" t="s">
        <v>70</v>
      </c>
    </row>
    <row r="79" spans="1:13" ht="15" thickBot="1" x14ac:dyDescent="0.35"/>
    <row r="80" spans="1:13" x14ac:dyDescent="0.3">
      <c r="A80" s="13" t="s">
        <v>71</v>
      </c>
      <c r="B80" s="13"/>
      <c r="L80" s="13" t="s">
        <v>71</v>
      </c>
      <c r="M80" s="13"/>
    </row>
    <row r="81" spans="1:20" x14ac:dyDescent="0.3">
      <c r="A81" s="10" t="s">
        <v>72</v>
      </c>
      <c r="B81" s="10">
        <v>0.78948473251868101</v>
      </c>
      <c r="L81" s="10" t="s">
        <v>72</v>
      </c>
      <c r="M81" s="10">
        <v>0.87948708139092768</v>
      </c>
    </row>
    <row r="82" spans="1:20" x14ac:dyDescent="0.3">
      <c r="A82" s="10" t="s">
        <v>73</v>
      </c>
      <c r="B82" s="10">
        <v>0.62328614288009332</v>
      </c>
      <c r="L82" s="10" t="s">
        <v>73</v>
      </c>
      <c r="M82" s="10">
        <v>0.77349752633353219</v>
      </c>
    </row>
    <row r="83" spans="1:20" x14ac:dyDescent="0.3">
      <c r="A83" s="10" t="s">
        <v>74</v>
      </c>
      <c r="B83" s="10">
        <v>0.60235759526232069</v>
      </c>
      <c r="L83" s="10" t="s">
        <v>74</v>
      </c>
      <c r="M83" s="10">
        <v>0.74685017649041829</v>
      </c>
    </row>
    <row r="84" spans="1:20" x14ac:dyDescent="0.3">
      <c r="A84" s="10" t="s">
        <v>69</v>
      </c>
      <c r="B84" s="10">
        <v>0.74774947650067036</v>
      </c>
      <c r="L84" s="10" t="s">
        <v>69</v>
      </c>
      <c r="M84" s="10">
        <v>0.59662106961356987</v>
      </c>
    </row>
    <row r="85" spans="1:20" ht="15" thickBot="1" x14ac:dyDescent="0.35">
      <c r="A85" s="11" t="s">
        <v>75</v>
      </c>
      <c r="B85" s="11">
        <v>20</v>
      </c>
      <c r="L85" s="11" t="s">
        <v>75</v>
      </c>
      <c r="M85" s="11">
        <v>20</v>
      </c>
    </row>
    <row r="87" spans="1:20" ht="15" thickBot="1" x14ac:dyDescent="0.35">
      <c r="A87" t="s">
        <v>76</v>
      </c>
      <c r="L87" t="s">
        <v>76</v>
      </c>
    </row>
    <row r="88" spans="1:20" x14ac:dyDescent="0.3">
      <c r="A88" s="12"/>
      <c r="B88" s="12" t="s">
        <v>81</v>
      </c>
      <c r="C88" s="12" t="s">
        <v>82</v>
      </c>
      <c r="D88" s="12" t="s">
        <v>83</v>
      </c>
      <c r="E88" s="12" t="s">
        <v>84</v>
      </c>
      <c r="F88" s="12" t="s">
        <v>85</v>
      </c>
      <c r="L88" s="12"/>
      <c r="M88" s="12" t="s">
        <v>81</v>
      </c>
      <c r="N88" s="12" t="s">
        <v>82</v>
      </c>
      <c r="O88" s="12" t="s">
        <v>83</v>
      </c>
      <c r="P88" s="12" t="s">
        <v>84</v>
      </c>
      <c r="Q88" s="12" t="s">
        <v>85</v>
      </c>
    </row>
    <row r="89" spans="1:20" x14ac:dyDescent="0.3">
      <c r="A89" s="10" t="s">
        <v>77</v>
      </c>
      <c r="B89" s="10">
        <v>1</v>
      </c>
      <c r="C89" s="10">
        <v>16.651778155959732</v>
      </c>
      <c r="D89" s="10">
        <v>16.651778155959732</v>
      </c>
      <c r="E89" s="10">
        <v>29.78162432785334</v>
      </c>
      <c r="F89" s="10">
        <v>3.4890075437856143E-5</v>
      </c>
      <c r="L89" s="10" t="s">
        <v>77</v>
      </c>
      <c r="M89" s="10">
        <v>2</v>
      </c>
      <c r="N89" s="10">
        <v>20.664841276869929</v>
      </c>
      <c r="O89" s="10">
        <v>10.332420638434964</v>
      </c>
      <c r="P89" s="10">
        <v>29.02718397467272</v>
      </c>
      <c r="Q89" s="10">
        <v>3.2970085214909668E-6</v>
      </c>
    </row>
    <row r="90" spans="1:20" x14ac:dyDescent="0.3">
      <c r="A90" s="10" t="s">
        <v>78</v>
      </c>
      <c r="B90" s="10">
        <v>18</v>
      </c>
      <c r="C90" s="10">
        <v>10.064327032926478</v>
      </c>
      <c r="D90" s="10">
        <v>0.55912927960702652</v>
      </c>
      <c r="E90" s="10"/>
      <c r="F90" s="10"/>
      <c r="L90" s="10" t="s">
        <v>78</v>
      </c>
      <c r="M90" s="10">
        <v>17</v>
      </c>
      <c r="N90" s="10">
        <v>6.0512639120162826</v>
      </c>
      <c r="O90" s="10">
        <v>0.35595670070684016</v>
      </c>
      <c r="P90" s="10"/>
      <c r="Q90" s="10"/>
    </row>
    <row r="91" spans="1:20" ht="15" thickBot="1" x14ac:dyDescent="0.35">
      <c r="A91" s="11" t="s">
        <v>79</v>
      </c>
      <c r="B91" s="11">
        <v>19</v>
      </c>
      <c r="C91" s="11">
        <v>26.71610518888621</v>
      </c>
      <c r="D91" s="11"/>
      <c r="E91" s="11"/>
      <c r="F91" s="11"/>
      <c r="L91" s="11" t="s">
        <v>79</v>
      </c>
      <c r="M91" s="11">
        <v>19</v>
      </c>
      <c r="N91" s="11">
        <v>26.71610518888621</v>
      </c>
      <c r="O91" s="11"/>
      <c r="P91" s="11"/>
      <c r="Q91" s="11"/>
    </row>
    <row r="92" spans="1:20" ht="15" thickBot="1" x14ac:dyDescent="0.35"/>
    <row r="93" spans="1:20" x14ac:dyDescent="0.3">
      <c r="A93" s="12"/>
      <c r="B93" s="12" t="s">
        <v>86</v>
      </c>
      <c r="C93" s="12" t="s">
        <v>69</v>
      </c>
      <c r="D93" s="12" t="s">
        <v>87</v>
      </c>
      <c r="E93" s="12" t="s">
        <v>88</v>
      </c>
      <c r="F93" s="12" t="s">
        <v>89</v>
      </c>
      <c r="G93" s="12" t="s">
        <v>90</v>
      </c>
      <c r="H93" s="12" t="s">
        <v>91</v>
      </c>
      <c r="I93" s="12" t="s">
        <v>92</v>
      </c>
      <c r="L93" s="12"/>
      <c r="M93" s="12" t="s">
        <v>86</v>
      </c>
      <c r="N93" s="12" t="s">
        <v>69</v>
      </c>
      <c r="O93" s="12" t="s">
        <v>87</v>
      </c>
      <c r="P93" s="12" t="s">
        <v>88</v>
      </c>
      <c r="Q93" s="12" t="s">
        <v>89</v>
      </c>
      <c r="R93" s="12" t="s">
        <v>90</v>
      </c>
      <c r="S93" s="12" t="s">
        <v>91</v>
      </c>
      <c r="T93" s="12" t="s">
        <v>92</v>
      </c>
    </row>
    <row r="94" spans="1:20" x14ac:dyDescent="0.3">
      <c r="A94" s="10" t="s">
        <v>80</v>
      </c>
      <c r="B94" s="10">
        <v>0.29157138373855807</v>
      </c>
      <c r="C94" s="10">
        <v>0.31720870647990301</v>
      </c>
      <c r="D94" s="10">
        <v>0.91917837619955356</v>
      </c>
      <c r="E94" s="10">
        <v>0.37015648540085555</v>
      </c>
      <c r="F94" s="10">
        <v>-0.37485937906142031</v>
      </c>
      <c r="G94" s="10">
        <v>0.95800214653853644</v>
      </c>
      <c r="H94" s="10">
        <v>-0.37485937906142031</v>
      </c>
      <c r="I94" s="10">
        <v>0.95800214653853644</v>
      </c>
      <c r="L94" s="10" t="s">
        <v>80</v>
      </c>
      <c r="M94" s="10">
        <v>-1.0669551788013052</v>
      </c>
      <c r="N94" s="10">
        <v>0.47724371746189914</v>
      </c>
      <c r="O94" s="10">
        <v>-2.2356610255146747</v>
      </c>
      <c r="P94" s="10">
        <v>3.9076845984371722E-2</v>
      </c>
      <c r="Q94" s="10">
        <v>-2.0738514083255022</v>
      </c>
      <c r="R94" s="10">
        <v>-6.0058949277108198E-2</v>
      </c>
      <c r="S94" s="10">
        <v>-2.0738514083255022</v>
      </c>
      <c r="T94" s="10">
        <v>-6.0058949277108198E-2</v>
      </c>
    </row>
    <row r="95" spans="1:20" ht="15" thickBot="1" x14ac:dyDescent="0.35">
      <c r="A95" s="11" t="s">
        <v>152</v>
      </c>
      <c r="B95" s="11">
        <v>8.3182403516186714</v>
      </c>
      <c r="C95" s="11">
        <v>1.5242537579645115</v>
      </c>
      <c r="D95" s="11">
        <v>5.4572542846978775</v>
      </c>
      <c r="E95" s="11">
        <v>3.4890075437856143E-5</v>
      </c>
      <c r="F95" s="11">
        <v>5.1159020365908008</v>
      </c>
      <c r="G95" s="11">
        <v>11.520578666646543</v>
      </c>
      <c r="H95" s="11">
        <v>5.1159020365908008</v>
      </c>
      <c r="I95" s="11">
        <v>11.520578666646543</v>
      </c>
      <c r="L95" s="10" t="s">
        <v>152</v>
      </c>
      <c r="M95" s="10">
        <v>11.336388650873133</v>
      </c>
      <c r="N95" s="10">
        <v>1.5123127461492671</v>
      </c>
      <c r="O95" s="10">
        <v>7.4960610361437876</v>
      </c>
      <c r="P95" s="10">
        <v>8.7492601249852526E-7</v>
      </c>
      <c r="Q95" s="10">
        <v>8.1456876604915252</v>
      </c>
      <c r="R95" s="10">
        <v>14.52708964125474</v>
      </c>
      <c r="S95" s="10">
        <v>8.1456876604915252</v>
      </c>
      <c r="T95" s="10">
        <v>14.52708964125474</v>
      </c>
    </row>
    <row r="96" spans="1:20" ht="15" thickBot="1" x14ac:dyDescent="0.35">
      <c r="L96" s="11" t="s">
        <v>138</v>
      </c>
      <c r="M96" s="11">
        <v>1.8312692300206757E-2</v>
      </c>
      <c r="N96" s="11">
        <v>5.4539705584154769E-3</v>
      </c>
      <c r="O96" s="11">
        <v>3.3576808132838694</v>
      </c>
      <c r="P96" s="11">
        <v>3.7344684281952392E-3</v>
      </c>
      <c r="Q96" s="11">
        <v>6.8058202550175095E-3</v>
      </c>
      <c r="R96" s="11">
        <v>2.9819564345396003E-2</v>
      </c>
      <c r="S96" s="11">
        <v>6.8058202550175095E-3</v>
      </c>
      <c r="T96" s="11">
        <v>2.9819564345396003E-2</v>
      </c>
    </row>
    <row r="99" spans="1:13" x14ac:dyDescent="0.3">
      <c r="A99" t="s">
        <v>123</v>
      </c>
      <c r="I99">
        <f>((C90-N90)/(M89-B89))/(N90/(B91+1-(M89+1)))</f>
        <v>11.274020443894623</v>
      </c>
      <c r="K99" t="s">
        <v>292</v>
      </c>
    </row>
    <row r="100" spans="1:13" x14ac:dyDescent="0.3">
      <c r="A100" t="s">
        <v>124</v>
      </c>
      <c r="I100">
        <f>_xlfn.F.DIST.RT(I99,B90-M90,M90)</f>
        <v>3.7344684281952465E-3</v>
      </c>
    </row>
    <row r="101" spans="1:13" x14ac:dyDescent="0.3">
      <c r="A101" t="s">
        <v>310</v>
      </c>
    </row>
    <row r="102" spans="1:13" x14ac:dyDescent="0.3">
      <c r="A102" t="s">
        <v>315</v>
      </c>
    </row>
    <row r="105" spans="1:13" x14ac:dyDescent="0.3">
      <c r="A105" t="s">
        <v>127</v>
      </c>
      <c r="L105" t="s">
        <v>146</v>
      </c>
    </row>
    <row r="106" spans="1:13" x14ac:dyDescent="0.3">
      <c r="A106" t="s">
        <v>70</v>
      </c>
      <c r="L106" t="s">
        <v>70</v>
      </c>
    </row>
    <row r="107" spans="1:13" ht="15" thickBot="1" x14ac:dyDescent="0.35"/>
    <row r="108" spans="1:13" x14ac:dyDescent="0.3">
      <c r="A108" s="13" t="s">
        <v>71</v>
      </c>
      <c r="B108" s="13"/>
      <c r="L108" s="13" t="s">
        <v>71</v>
      </c>
      <c r="M108" s="13"/>
    </row>
    <row r="109" spans="1:13" x14ac:dyDescent="0.3">
      <c r="A109" s="10" t="s">
        <v>72</v>
      </c>
      <c r="B109" s="10">
        <v>0.78948473251868101</v>
      </c>
      <c r="L109" s="10" t="s">
        <v>72</v>
      </c>
      <c r="M109" s="10">
        <v>0.90819309370722334</v>
      </c>
    </row>
    <row r="110" spans="1:13" x14ac:dyDescent="0.3">
      <c r="A110" s="10" t="s">
        <v>73</v>
      </c>
      <c r="B110" s="10">
        <v>0.62328614288009332</v>
      </c>
      <c r="L110" s="10" t="s">
        <v>73</v>
      </c>
      <c r="M110" s="10">
        <v>0.8248146954574973</v>
      </c>
    </row>
    <row r="111" spans="1:13" x14ac:dyDescent="0.3">
      <c r="A111" s="10" t="s">
        <v>74</v>
      </c>
      <c r="B111" s="10">
        <v>0.60235759526232069</v>
      </c>
      <c r="L111" s="10" t="s">
        <v>74</v>
      </c>
      <c r="M111" s="10">
        <v>0.79196745085577802</v>
      </c>
    </row>
    <row r="112" spans="1:13" x14ac:dyDescent="0.3">
      <c r="A112" s="10" t="s">
        <v>69</v>
      </c>
      <c r="B112" s="10">
        <v>0.74774947650067036</v>
      </c>
      <c r="L112" s="10" t="s">
        <v>69</v>
      </c>
      <c r="M112" s="10">
        <v>0.54084823562764395</v>
      </c>
    </row>
    <row r="113" spans="1:20" ht="15" thickBot="1" x14ac:dyDescent="0.35">
      <c r="A113" s="11" t="s">
        <v>75</v>
      </c>
      <c r="B113" s="11">
        <v>20</v>
      </c>
      <c r="L113" s="11" t="s">
        <v>75</v>
      </c>
      <c r="M113" s="11">
        <v>20</v>
      </c>
    </row>
    <row r="115" spans="1:20" ht="15" thickBot="1" x14ac:dyDescent="0.35">
      <c r="A115" t="s">
        <v>76</v>
      </c>
      <c r="L115" t="s">
        <v>76</v>
      </c>
    </row>
    <row r="116" spans="1:20" x14ac:dyDescent="0.3">
      <c r="A116" s="12"/>
      <c r="B116" s="12" t="s">
        <v>81</v>
      </c>
      <c r="C116" s="12" t="s">
        <v>82</v>
      </c>
      <c r="D116" s="12" t="s">
        <v>83</v>
      </c>
      <c r="E116" s="12" t="s">
        <v>84</v>
      </c>
      <c r="F116" s="12" t="s">
        <v>85</v>
      </c>
      <c r="L116" s="12"/>
      <c r="M116" s="12" t="s">
        <v>81</v>
      </c>
      <c r="N116" s="12" t="s">
        <v>82</v>
      </c>
      <c r="O116" s="12" t="s">
        <v>83</v>
      </c>
      <c r="P116" s="12" t="s">
        <v>84</v>
      </c>
      <c r="Q116" s="12" t="s">
        <v>85</v>
      </c>
    </row>
    <row r="117" spans="1:20" x14ac:dyDescent="0.3">
      <c r="A117" s="10" t="s">
        <v>77</v>
      </c>
      <c r="B117" s="10">
        <v>1</v>
      </c>
      <c r="C117" s="10">
        <v>16.651778155959732</v>
      </c>
      <c r="D117" s="10">
        <v>16.651778155959732</v>
      </c>
      <c r="E117" s="10">
        <v>29.78162432785334</v>
      </c>
      <c r="F117" s="10">
        <v>3.4890075437856143E-5</v>
      </c>
      <c r="L117" s="10" t="s">
        <v>77</v>
      </c>
      <c r="M117" s="10">
        <v>3</v>
      </c>
      <c r="N117" s="10">
        <v>22.035836165181642</v>
      </c>
      <c r="O117" s="10">
        <v>7.3452787217272144</v>
      </c>
      <c r="P117" s="10">
        <v>25.11062055458757</v>
      </c>
      <c r="Q117" s="10">
        <v>2.7211302894075179E-6</v>
      </c>
    </row>
    <row r="118" spans="1:20" x14ac:dyDescent="0.3">
      <c r="A118" s="10" t="s">
        <v>78</v>
      </c>
      <c r="B118" s="10">
        <v>18</v>
      </c>
      <c r="C118" s="10">
        <v>10.064327032926478</v>
      </c>
      <c r="D118" s="10">
        <v>0.55912927960702652</v>
      </c>
      <c r="E118" s="10"/>
      <c r="F118" s="10"/>
      <c r="L118" s="10" t="s">
        <v>78</v>
      </c>
      <c r="M118" s="10">
        <v>16</v>
      </c>
      <c r="N118" s="10">
        <v>4.6802690237045681</v>
      </c>
      <c r="O118" s="10">
        <v>0.29251681398153551</v>
      </c>
      <c r="P118" s="10"/>
      <c r="Q118" s="10"/>
    </row>
    <row r="119" spans="1:20" ht="15" thickBot="1" x14ac:dyDescent="0.35">
      <c r="A119" s="11" t="s">
        <v>79</v>
      </c>
      <c r="B119" s="11">
        <v>19</v>
      </c>
      <c r="C119" s="11">
        <v>26.71610518888621</v>
      </c>
      <c r="D119" s="11"/>
      <c r="E119" s="11"/>
      <c r="F119" s="11"/>
      <c r="L119" s="11" t="s">
        <v>79</v>
      </c>
      <c r="M119" s="11">
        <v>19</v>
      </c>
      <c r="N119" s="11">
        <v>26.71610518888621</v>
      </c>
      <c r="O119" s="11"/>
      <c r="P119" s="11"/>
      <c r="Q119" s="11"/>
    </row>
    <row r="120" spans="1:20" ht="15" thickBot="1" x14ac:dyDescent="0.35"/>
    <row r="121" spans="1:20" x14ac:dyDescent="0.3">
      <c r="A121" s="12"/>
      <c r="B121" s="12" t="s">
        <v>86</v>
      </c>
      <c r="C121" s="12" t="s">
        <v>69</v>
      </c>
      <c r="D121" s="12" t="s">
        <v>87</v>
      </c>
      <c r="E121" s="12" t="s">
        <v>88</v>
      </c>
      <c r="F121" s="12" t="s">
        <v>89</v>
      </c>
      <c r="G121" s="12" t="s">
        <v>90</v>
      </c>
      <c r="H121" s="12" t="s">
        <v>91</v>
      </c>
      <c r="I121" s="12" t="s">
        <v>92</v>
      </c>
      <c r="L121" s="12"/>
      <c r="M121" s="12" t="s">
        <v>86</v>
      </c>
      <c r="N121" s="12" t="s">
        <v>69</v>
      </c>
      <c r="O121" s="12" t="s">
        <v>87</v>
      </c>
      <c r="P121" s="12" t="s">
        <v>88</v>
      </c>
      <c r="Q121" s="12" t="s">
        <v>89</v>
      </c>
      <c r="R121" s="12" t="s">
        <v>90</v>
      </c>
      <c r="S121" s="12" t="s">
        <v>91</v>
      </c>
      <c r="T121" s="12" t="s">
        <v>92</v>
      </c>
    </row>
    <row r="122" spans="1:20" x14ac:dyDescent="0.3">
      <c r="A122" s="10" t="s">
        <v>80</v>
      </c>
      <c r="B122" s="10">
        <v>0.29157138373855807</v>
      </c>
      <c r="C122" s="10">
        <v>0.31720870647990301</v>
      </c>
      <c r="D122" s="10">
        <v>0.91917837619955356</v>
      </c>
      <c r="E122" s="10">
        <v>0.37015648540085555</v>
      </c>
      <c r="F122" s="10">
        <v>-0.37485937906142031</v>
      </c>
      <c r="G122" s="10">
        <v>0.95800214653853644</v>
      </c>
      <c r="H122" s="10">
        <v>-0.37485937906142031</v>
      </c>
      <c r="I122" s="10">
        <v>0.95800214653853644</v>
      </c>
      <c r="L122" s="10" t="s">
        <v>80</v>
      </c>
      <c r="M122" s="10">
        <v>-0.55650495132075661</v>
      </c>
      <c r="N122" s="10">
        <v>0.49270913819086504</v>
      </c>
      <c r="O122" s="10">
        <v>-1.1294796629186497</v>
      </c>
      <c r="P122" s="10">
        <v>0.27534522724714527</v>
      </c>
      <c r="Q122" s="10">
        <v>-1.6010016643463092</v>
      </c>
      <c r="R122" s="10">
        <v>0.48799176170479586</v>
      </c>
      <c r="S122" s="10">
        <v>-1.6010016643463092</v>
      </c>
      <c r="T122" s="10">
        <v>0.48799176170479586</v>
      </c>
    </row>
    <row r="123" spans="1:20" ht="15" thickBot="1" x14ac:dyDescent="0.35">
      <c r="A123" s="11" t="s">
        <v>152</v>
      </c>
      <c r="B123" s="11">
        <v>8.3182403516186714</v>
      </c>
      <c r="C123" s="11">
        <v>1.5242537579645115</v>
      </c>
      <c r="D123" s="11">
        <v>5.4572542846978775</v>
      </c>
      <c r="E123" s="11">
        <v>3.4890075437856143E-5</v>
      </c>
      <c r="F123" s="11">
        <v>5.1159020365908008</v>
      </c>
      <c r="G123" s="11">
        <v>11.520578666646543</v>
      </c>
      <c r="H123" s="11">
        <v>5.1159020365908008</v>
      </c>
      <c r="I123" s="11">
        <v>11.520578666646543</v>
      </c>
      <c r="L123" s="10" t="s">
        <v>152</v>
      </c>
      <c r="M123" s="10">
        <v>8.4839776315655477</v>
      </c>
      <c r="N123" s="10">
        <v>1.901429575211981</v>
      </c>
      <c r="O123" s="10">
        <v>4.4618942201000058</v>
      </c>
      <c r="P123" s="10">
        <v>3.9336908455964322E-4</v>
      </c>
      <c r="Q123" s="10">
        <v>4.4531269989776492</v>
      </c>
      <c r="R123" s="10">
        <v>12.514828264153447</v>
      </c>
      <c r="S123" s="10">
        <v>4.4531269989776492</v>
      </c>
      <c r="T123" s="10">
        <v>12.514828264153447</v>
      </c>
    </row>
    <row r="124" spans="1:20" x14ac:dyDescent="0.3">
      <c r="L124" s="10" t="s">
        <v>138</v>
      </c>
      <c r="M124" s="10">
        <v>4.2641019390428064E-3</v>
      </c>
      <c r="N124" s="10">
        <v>8.1580593312566597E-3</v>
      </c>
      <c r="O124" s="10">
        <v>0.52268582096545846</v>
      </c>
      <c r="P124" s="10">
        <v>0.60835527140336199</v>
      </c>
      <c r="Q124" s="10">
        <v>-1.3030211268649594E-2</v>
      </c>
      <c r="R124" s="10">
        <v>2.1558415146735205E-2</v>
      </c>
      <c r="S124" s="10">
        <v>-1.3030211268649594E-2</v>
      </c>
      <c r="T124" s="10">
        <v>2.1558415146735205E-2</v>
      </c>
    </row>
    <row r="125" spans="1:20" ht="15" thickBot="1" x14ac:dyDescent="0.35">
      <c r="L125" s="11" t="s">
        <v>153</v>
      </c>
      <c r="M125" s="11">
        <v>0.10477066904578167</v>
      </c>
      <c r="N125" s="11">
        <v>4.839463478347699E-2</v>
      </c>
      <c r="O125" s="11">
        <v>2.1649232299104511</v>
      </c>
      <c r="P125" s="11">
        <v>4.5854337384292343E-2</v>
      </c>
      <c r="Q125" s="11">
        <v>2.1786263144115137E-3</v>
      </c>
      <c r="R125" s="11">
        <v>0.20736271177715182</v>
      </c>
      <c r="S125" s="11">
        <v>2.1786263144115137E-3</v>
      </c>
      <c r="T125" s="11">
        <v>0.20736271177715182</v>
      </c>
    </row>
    <row r="128" spans="1:20" x14ac:dyDescent="0.3">
      <c r="A128" t="s">
        <v>123</v>
      </c>
      <c r="I128">
        <f>((C118-N118)/(M117-B117))/(N118/(B119+1-(M117+1)))</f>
        <v>9.2029889426488953</v>
      </c>
      <c r="K128" t="s">
        <v>292</v>
      </c>
    </row>
    <row r="129" spans="1:13" x14ac:dyDescent="0.3">
      <c r="A129" t="s">
        <v>124</v>
      </c>
      <c r="I129">
        <f>_xlfn.F.DIST.RT(I128,B118-M118,M118)</f>
        <v>2.1872005900472444E-3</v>
      </c>
    </row>
    <row r="130" spans="1:13" x14ac:dyDescent="0.3">
      <c r="A130" t="s">
        <v>314</v>
      </c>
    </row>
    <row r="131" spans="1:13" x14ac:dyDescent="0.3">
      <c r="A131" t="s">
        <v>313</v>
      </c>
    </row>
    <row r="137" spans="1:13" x14ac:dyDescent="0.3">
      <c r="A137" t="s">
        <v>148</v>
      </c>
      <c r="L137" t="s">
        <v>146</v>
      </c>
    </row>
    <row r="138" spans="1:13" x14ac:dyDescent="0.3">
      <c r="A138" t="s">
        <v>70</v>
      </c>
      <c r="L138" t="s">
        <v>70</v>
      </c>
    </row>
    <row r="139" spans="1:13" ht="15" thickBot="1" x14ac:dyDescent="0.35"/>
    <row r="140" spans="1:13" x14ac:dyDescent="0.3">
      <c r="A140" s="13" t="s">
        <v>71</v>
      </c>
      <c r="B140" s="13"/>
      <c r="L140" s="13" t="s">
        <v>71</v>
      </c>
      <c r="M140" s="13"/>
    </row>
    <row r="141" spans="1:13" x14ac:dyDescent="0.3">
      <c r="A141" s="10" t="s">
        <v>72</v>
      </c>
      <c r="B141" s="10">
        <v>0.87948708139092768</v>
      </c>
      <c r="L141" s="10" t="s">
        <v>72</v>
      </c>
      <c r="M141" s="10">
        <v>0.90819309370722334</v>
      </c>
    </row>
    <row r="142" spans="1:13" x14ac:dyDescent="0.3">
      <c r="A142" s="10" t="s">
        <v>73</v>
      </c>
      <c r="B142" s="10">
        <v>0.77349752633353219</v>
      </c>
      <c r="L142" s="10" t="s">
        <v>73</v>
      </c>
      <c r="M142" s="10">
        <v>0.8248146954574973</v>
      </c>
    </row>
    <row r="143" spans="1:13" x14ac:dyDescent="0.3">
      <c r="A143" s="10" t="s">
        <v>74</v>
      </c>
      <c r="B143" s="10">
        <v>0.74685017649041829</v>
      </c>
      <c r="L143" s="10" t="s">
        <v>74</v>
      </c>
      <c r="M143" s="10">
        <v>0.79196745085577802</v>
      </c>
    </row>
    <row r="144" spans="1:13" x14ac:dyDescent="0.3">
      <c r="A144" s="10" t="s">
        <v>69</v>
      </c>
      <c r="B144" s="10">
        <v>0.59662106961356987</v>
      </c>
      <c r="L144" s="10" t="s">
        <v>69</v>
      </c>
      <c r="M144" s="10">
        <v>0.54084823562764395</v>
      </c>
    </row>
    <row r="145" spans="1:20" ht="15" thickBot="1" x14ac:dyDescent="0.35">
      <c r="A145" s="11" t="s">
        <v>75</v>
      </c>
      <c r="B145" s="11">
        <v>20</v>
      </c>
      <c r="L145" s="11" t="s">
        <v>75</v>
      </c>
      <c r="M145" s="11">
        <v>20</v>
      </c>
    </row>
    <row r="147" spans="1:20" ht="15" thickBot="1" x14ac:dyDescent="0.35">
      <c r="A147" t="s">
        <v>76</v>
      </c>
      <c r="L147" t="s">
        <v>76</v>
      </c>
    </row>
    <row r="148" spans="1:20" x14ac:dyDescent="0.3">
      <c r="A148" s="12"/>
      <c r="B148" s="12" t="s">
        <v>81</v>
      </c>
      <c r="C148" s="12" t="s">
        <v>82</v>
      </c>
      <c r="D148" s="12" t="s">
        <v>83</v>
      </c>
      <c r="E148" s="12" t="s">
        <v>84</v>
      </c>
      <c r="F148" s="12" t="s">
        <v>85</v>
      </c>
      <c r="L148" s="12"/>
      <c r="M148" s="12" t="s">
        <v>81</v>
      </c>
      <c r="N148" s="12" t="s">
        <v>82</v>
      </c>
      <c r="O148" s="12" t="s">
        <v>83</v>
      </c>
      <c r="P148" s="12" t="s">
        <v>84</v>
      </c>
      <c r="Q148" s="12" t="s">
        <v>85</v>
      </c>
    </row>
    <row r="149" spans="1:20" x14ac:dyDescent="0.3">
      <c r="A149" s="10" t="s">
        <v>77</v>
      </c>
      <c r="B149" s="10">
        <v>2</v>
      </c>
      <c r="C149" s="10">
        <v>20.664841276869929</v>
      </c>
      <c r="D149" s="10">
        <v>10.332420638434964</v>
      </c>
      <c r="E149" s="10">
        <v>29.02718397467272</v>
      </c>
      <c r="F149" s="10">
        <v>3.2970085214909668E-6</v>
      </c>
      <c r="L149" s="10" t="s">
        <v>77</v>
      </c>
      <c r="M149" s="10">
        <v>3</v>
      </c>
      <c r="N149" s="10">
        <v>22.035836165181642</v>
      </c>
      <c r="O149" s="10">
        <v>7.3452787217272144</v>
      </c>
      <c r="P149" s="10">
        <v>25.11062055458757</v>
      </c>
      <c r="Q149" s="10">
        <v>2.7211302894075179E-6</v>
      </c>
    </row>
    <row r="150" spans="1:20" x14ac:dyDescent="0.3">
      <c r="A150" s="10" t="s">
        <v>78</v>
      </c>
      <c r="B150" s="10">
        <v>17</v>
      </c>
      <c r="C150" s="10">
        <v>6.0512639120162826</v>
      </c>
      <c r="D150" s="10">
        <v>0.35595670070684016</v>
      </c>
      <c r="E150" s="10"/>
      <c r="F150" s="10"/>
      <c r="L150" s="10" t="s">
        <v>78</v>
      </c>
      <c r="M150" s="10">
        <v>16</v>
      </c>
      <c r="N150" s="10">
        <v>4.6802690237045681</v>
      </c>
      <c r="O150" s="10">
        <v>0.29251681398153551</v>
      </c>
      <c r="P150" s="10"/>
      <c r="Q150" s="10"/>
    </row>
    <row r="151" spans="1:20" ht="15" thickBot="1" x14ac:dyDescent="0.35">
      <c r="A151" s="11" t="s">
        <v>79</v>
      </c>
      <c r="B151" s="11">
        <v>19</v>
      </c>
      <c r="C151" s="11">
        <v>26.71610518888621</v>
      </c>
      <c r="D151" s="11"/>
      <c r="E151" s="11"/>
      <c r="F151" s="11"/>
      <c r="L151" s="11" t="s">
        <v>79</v>
      </c>
      <c r="M151" s="11">
        <v>19</v>
      </c>
      <c r="N151" s="11">
        <v>26.71610518888621</v>
      </c>
      <c r="O151" s="11"/>
      <c r="P151" s="11"/>
      <c r="Q151" s="11"/>
    </row>
    <row r="152" spans="1:20" ht="15" thickBot="1" x14ac:dyDescent="0.35"/>
    <row r="153" spans="1:20" x14ac:dyDescent="0.3">
      <c r="A153" s="12"/>
      <c r="B153" s="12" t="s">
        <v>86</v>
      </c>
      <c r="C153" s="12" t="s">
        <v>69</v>
      </c>
      <c r="D153" s="12" t="s">
        <v>87</v>
      </c>
      <c r="E153" s="12" t="s">
        <v>88</v>
      </c>
      <c r="F153" s="12" t="s">
        <v>89</v>
      </c>
      <c r="G153" s="12" t="s">
        <v>90</v>
      </c>
      <c r="H153" s="12" t="s">
        <v>91</v>
      </c>
      <c r="I153" s="12" t="s">
        <v>92</v>
      </c>
      <c r="L153" s="12"/>
      <c r="M153" s="12" t="s">
        <v>86</v>
      </c>
      <c r="N153" s="12" t="s">
        <v>69</v>
      </c>
      <c r="O153" s="12" t="s">
        <v>87</v>
      </c>
      <c r="P153" s="12" t="s">
        <v>88</v>
      </c>
      <c r="Q153" s="12" t="s">
        <v>89</v>
      </c>
      <c r="R153" s="12" t="s">
        <v>90</v>
      </c>
      <c r="S153" s="12" t="s">
        <v>91</v>
      </c>
      <c r="T153" s="12" t="s">
        <v>92</v>
      </c>
    </row>
    <row r="154" spans="1:20" x14ac:dyDescent="0.3">
      <c r="A154" s="10" t="s">
        <v>80</v>
      </c>
      <c r="B154" s="10">
        <v>-1.0669551788013052</v>
      </c>
      <c r="C154" s="10">
        <v>0.47724371746189914</v>
      </c>
      <c r="D154" s="10">
        <v>-2.2356610255146747</v>
      </c>
      <c r="E154" s="10">
        <v>3.9076845984371722E-2</v>
      </c>
      <c r="F154" s="10">
        <v>-2.0738514083255022</v>
      </c>
      <c r="G154" s="10">
        <v>-6.0058949277108198E-2</v>
      </c>
      <c r="H154" s="10">
        <v>-2.0738514083255022</v>
      </c>
      <c r="I154" s="10">
        <v>-6.0058949277108198E-2</v>
      </c>
      <c r="L154" s="10" t="s">
        <v>80</v>
      </c>
      <c r="M154" s="10">
        <v>-0.55650495132075661</v>
      </c>
      <c r="N154" s="10">
        <v>0.49270913819086504</v>
      </c>
      <c r="O154" s="10">
        <v>-1.1294796629186497</v>
      </c>
      <c r="P154" s="10">
        <v>0.27534522724714527</v>
      </c>
      <c r="Q154" s="10">
        <v>-1.6010016643463092</v>
      </c>
      <c r="R154" s="10">
        <v>0.48799176170479586</v>
      </c>
      <c r="S154" s="10">
        <v>-1.6010016643463092</v>
      </c>
      <c r="T154" s="10">
        <v>0.48799176170479586</v>
      </c>
    </row>
    <row r="155" spans="1:20" x14ac:dyDescent="0.3">
      <c r="A155" s="10" t="s">
        <v>152</v>
      </c>
      <c r="B155" s="10">
        <v>11.336388650873133</v>
      </c>
      <c r="C155" s="10">
        <v>1.5123127461492671</v>
      </c>
      <c r="D155" s="10">
        <v>7.4960610361437876</v>
      </c>
      <c r="E155" s="10">
        <v>8.7492601249852526E-7</v>
      </c>
      <c r="F155" s="10">
        <v>8.1456876604915252</v>
      </c>
      <c r="G155" s="10">
        <v>14.52708964125474</v>
      </c>
      <c r="H155" s="10">
        <v>8.1456876604915252</v>
      </c>
      <c r="I155" s="10">
        <v>14.52708964125474</v>
      </c>
      <c r="L155" s="10" t="s">
        <v>152</v>
      </c>
      <c r="M155" s="10">
        <v>8.4839776315655477</v>
      </c>
      <c r="N155" s="10">
        <v>1.901429575211981</v>
      </c>
      <c r="O155" s="10">
        <v>4.4618942201000058</v>
      </c>
      <c r="P155" s="10">
        <v>3.9336908455964322E-4</v>
      </c>
      <c r="Q155" s="10">
        <v>4.4531269989776492</v>
      </c>
      <c r="R155" s="10">
        <v>12.514828264153447</v>
      </c>
      <c r="S155" s="10">
        <v>4.4531269989776492</v>
      </c>
      <c r="T155" s="10">
        <v>12.514828264153447</v>
      </c>
    </row>
    <row r="156" spans="1:20" ht="15" thickBot="1" x14ac:dyDescent="0.35">
      <c r="A156" s="11" t="s">
        <v>138</v>
      </c>
      <c r="B156" s="11">
        <v>1.8312692300206757E-2</v>
      </c>
      <c r="C156" s="11">
        <v>5.4539705584154769E-3</v>
      </c>
      <c r="D156" s="11">
        <v>3.3576808132838694</v>
      </c>
      <c r="E156" s="11">
        <v>3.7344684281952392E-3</v>
      </c>
      <c r="F156" s="11">
        <v>6.8058202550175095E-3</v>
      </c>
      <c r="G156" s="11">
        <v>2.9819564345396003E-2</v>
      </c>
      <c r="H156" s="11">
        <v>6.8058202550175095E-3</v>
      </c>
      <c r="I156" s="11">
        <v>2.9819564345396003E-2</v>
      </c>
      <c r="L156" s="10" t="s">
        <v>138</v>
      </c>
      <c r="M156" s="10">
        <v>4.2641019390428064E-3</v>
      </c>
      <c r="N156" s="10">
        <v>8.1580593312566597E-3</v>
      </c>
      <c r="O156" s="10">
        <v>0.52268582096545846</v>
      </c>
      <c r="P156" s="10">
        <v>0.60835527140336199</v>
      </c>
      <c r="Q156" s="10">
        <v>-1.3030211268649594E-2</v>
      </c>
      <c r="R156" s="10">
        <v>2.1558415146735205E-2</v>
      </c>
      <c r="S156" s="10">
        <v>-1.3030211268649594E-2</v>
      </c>
      <c r="T156" s="10">
        <v>2.1558415146735205E-2</v>
      </c>
    </row>
    <row r="157" spans="1:20" ht="15" thickBot="1" x14ac:dyDescent="0.35">
      <c r="L157" s="11" t="s">
        <v>153</v>
      </c>
      <c r="M157" s="11">
        <v>0.10477066904578167</v>
      </c>
      <c r="N157" s="11">
        <v>4.839463478347699E-2</v>
      </c>
      <c r="O157" s="11">
        <v>2.1649232299104511</v>
      </c>
      <c r="P157" s="11">
        <v>4.5854337384292343E-2</v>
      </c>
      <c r="Q157" s="11">
        <v>2.1786263144115137E-3</v>
      </c>
      <c r="R157" s="11">
        <v>0.20736271177715182</v>
      </c>
      <c r="S157" s="11">
        <v>2.1786263144115137E-3</v>
      </c>
      <c r="T157" s="11">
        <v>0.20736271177715182</v>
      </c>
    </row>
    <row r="160" spans="1:20" x14ac:dyDescent="0.3">
      <c r="A160" t="s">
        <v>123</v>
      </c>
      <c r="I160">
        <f>((C150-N150)/(M149-B149))/(N150/(B151+1-(M149+1)))</f>
        <v>4.6868925914058925</v>
      </c>
      <c r="K160" t="s">
        <v>292</v>
      </c>
    </row>
    <row r="161" spans="1:13" x14ac:dyDescent="0.3">
      <c r="A161" t="s">
        <v>124</v>
      </c>
      <c r="I161">
        <f>_xlfn.F.DIST.RT(I160,B150-M150,M150)</f>
        <v>4.5854337384292447E-2</v>
      </c>
    </row>
    <row r="162" spans="1:13" x14ac:dyDescent="0.3">
      <c r="A162" t="s">
        <v>310</v>
      </c>
    </row>
    <row r="163" spans="1:13" x14ac:dyDescent="0.3">
      <c r="A163" t="s">
        <v>311</v>
      </c>
    </row>
    <row r="166" spans="1:13" x14ac:dyDescent="0.3">
      <c r="A166" t="s">
        <v>127</v>
      </c>
      <c r="L166" t="s">
        <v>149</v>
      </c>
    </row>
    <row r="167" spans="1:13" x14ac:dyDescent="0.3">
      <c r="A167" t="s">
        <v>70</v>
      </c>
      <c r="L167" t="s">
        <v>70</v>
      </c>
    </row>
    <row r="168" spans="1:13" ht="15" thickBot="1" x14ac:dyDescent="0.35"/>
    <row r="169" spans="1:13" x14ac:dyDescent="0.3">
      <c r="A169" s="13" t="s">
        <v>71</v>
      </c>
      <c r="B169" s="13"/>
      <c r="L169" s="13" t="s">
        <v>71</v>
      </c>
      <c r="M169" s="13"/>
    </row>
    <row r="170" spans="1:13" x14ac:dyDescent="0.3">
      <c r="A170" s="10" t="s">
        <v>72</v>
      </c>
      <c r="B170" s="10">
        <v>0.78948473251868101</v>
      </c>
      <c r="L170" s="10" t="s">
        <v>72</v>
      </c>
      <c r="M170" s="10">
        <v>0.90654475965856951</v>
      </c>
    </row>
    <row r="171" spans="1:13" x14ac:dyDescent="0.3">
      <c r="A171" s="10" t="s">
        <v>73</v>
      </c>
      <c r="B171" s="10">
        <v>0.62328614288009332</v>
      </c>
      <c r="L171" s="10" t="s">
        <v>73</v>
      </c>
      <c r="M171" s="10">
        <v>0.82182340126441356</v>
      </c>
    </row>
    <row r="172" spans="1:13" x14ac:dyDescent="0.3">
      <c r="A172" s="10" t="s">
        <v>74</v>
      </c>
      <c r="B172" s="10">
        <v>0.60235759526232069</v>
      </c>
      <c r="L172" s="10" t="s">
        <v>74</v>
      </c>
      <c r="M172" s="10">
        <v>0.80086144847199159</v>
      </c>
    </row>
    <row r="173" spans="1:13" x14ac:dyDescent="0.3">
      <c r="A173" s="10" t="s">
        <v>69</v>
      </c>
      <c r="B173" s="10">
        <v>0.74774947650067036</v>
      </c>
      <c r="L173" s="10" t="s">
        <v>69</v>
      </c>
      <c r="M173" s="10">
        <v>0.52916053129783358</v>
      </c>
    </row>
    <row r="174" spans="1:13" ht="15" thickBot="1" x14ac:dyDescent="0.35">
      <c r="A174" s="11" t="s">
        <v>75</v>
      </c>
      <c r="B174" s="11">
        <v>20</v>
      </c>
      <c r="L174" s="11" t="s">
        <v>75</v>
      </c>
      <c r="M174" s="11">
        <v>20</v>
      </c>
    </row>
    <row r="176" spans="1:13" ht="15" thickBot="1" x14ac:dyDescent="0.35">
      <c r="A176" t="s">
        <v>76</v>
      </c>
      <c r="L176" t="s">
        <v>76</v>
      </c>
    </row>
    <row r="177" spans="1:20" x14ac:dyDescent="0.3">
      <c r="A177" s="12"/>
      <c r="B177" s="12" t="s">
        <v>81</v>
      </c>
      <c r="C177" s="12" t="s">
        <v>82</v>
      </c>
      <c r="D177" s="12" t="s">
        <v>83</v>
      </c>
      <c r="E177" s="12" t="s">
        <v>84</v>
      </c>
      <c r="F177" s="12" t="s">
        <v>85</v>
      </c>
      <c r="L177" s="12"/>
      <c r="M177" s="12" t="s">
        <v>81</v>
      </c>
      <c r="N177" s="12" t="s">
        <v>82</v>
      </c>
      <c r="O177" s="12" t="s">
        <v>83</v>
      </c>
      <c r="P177" s="12" t="s">
        <v>84</v>
      </c>
      <c r="Q177" s="12" t="s">
        <v>85</v>
      </c>
    </row>
    <row r="178" spans="1:20" x14ac:dyDescent="0.3">
      <c r="A178" s="10" t="s">
        <v>77</v>
      </c>
      <c r="B178" s="10">
        <v>1</v>
      </c>
      <c r="C178" s="10">
        <v>16.651778155959732</v>
      </c>
      <c r="D178" s="10">
        <v>16.651778155959732</v>
      </c>
      <c r="E178" s="10">
        <v>29.78162432785334</v>
      </c>
      <c r="F178" s="10">
        <v>3.4890075437856143E-5</v>
      </c>
      <c r="L178" s="10" t="s">
        <v>77</v>
      </c>
      <c r="M178" s="10">
        <v>2</v>
      </c>
      <c r="N178" s="10">
        <v>21.955920434868315</v>
      </c>
      <c r="O178" s="10">
        <v>10.977960217434157</v>
      </c>
      <c r="P178" s="10">
        <v>39.205479060210259</v>
      </c>
      <c r="Q178" s="10">
        <v>4.2877617585991674E-7</v>
      </c>
    </row>
    <row r="179" spans="1:20" x14ac:dyDescent="0.3">
      <c r="A179" s="10" t="s">
        <v>78</v>
      </c>
      <c r="B179" s="10">
        <v>18</v>
      </c>
      <c r="C179" s="10">
        <v>10.064327032926478</v>
      </c>
      <c r="D179" s="10">
        <v>0.55912927960702652</v>
      </c>
      <c r="E179" s="10"/>
      <c r="F179" s="10"/>
      <c r="L179" s="10" t="s">
        <v>78</v>
      </c>
      <c r="M179" s="10">
        <v>17</v>
      </c>
      <c r="N179" s="10">
        <v>4.760184754017895</v>
      </c>
      <c r="O179" s="10">
        <v>0.28001086788340557</v>
      </c>
      <c r="P179" s="10"/>
      <c r="Q179" s="10"/>
    </row>
    <row r="180" spans="1:20" ht="15" thickBot="1" x14ac:dyDescent="0.35">
      <c r="A180" s="11" t="s">
        <v>79</v>
      </c>
      <c r="B180" s="11">
        <v>19</v>
      </c>
      <c r="C180" s="11">
        <v>26.71610518888621</v>
      </c>
      <c r="D180" s="11"/>
      <c r="E180" s="11"/>
      <c r="F180" s="11"/>
      <c r="L180" s="11" t="s">
        <v>79</v>
      </c>
      <c r="M180" s="11">
        <v>19</v>
      </c>
      <c r="N180" s="11">
        <v>26.71610518888621</v>
      </c>
      <c r="O180" s="11"/>
      <c r="P180" s="11"/>
      <c r="Q180" s="11"/>
    </row>
    <row r="181" spans="1:20" ht="15" thickBot="1" x14ac:dyDescent="0.35"/>
    <row r="182" spans="1:20" x14ac:dyDescent="0.3">
      <c r="A182" s="12"/>
      <c r="B182" s="12" t="s">
        <v>86</v>
      </c>
      <c r="C182" s="12" t="s">
        <v>69</v>
      </c>
      <c r="D182" s="12" t="s">
        <v>87</v>
      </c>
      <c r="E182" s="12" t="s">
        <v>88</v>
      </c>
      <c r="F182" s="12" t="s">
        <v>89</v>
      </c>
      <c r="G182" s="12" t="s">
        <v>90</v>
      </c>
      <c r="H182" s="12" t="s">
        <v>91</v>
      </c>
      <c r="I182" s="12" t="s">
        <v>92</v>
      </c>
      <c r="L182" s="12"/>
      <c r="M182" s="12" t="s">
        <v>86</v>
      </c>
      <c r="N182" s="12" t="s">
        <v>69</v>
      </c>
      <c r="O182" s="12" t="s">
        <v>87</v>
      </c>
      <c r="P182" s="12" t="s">
        <v>88</v>
      </c>
      <c r="Q182" s="12" t="s">
        <v>89</v>
      </c>
      <c r="R182" s="12" t="s">
        <v>90</v>
      </c>
      <c r="S182" s="12" t="s">
        <v>91</v>
      </c>
      <c r="T182" s="12" t="s">
        <v>92</v>
      </c>
    </row>
    <row r="183" spans="1:20" x14ac:dyDescent="0.3">
      <c r="A183" s="10" t="s">
        <v>80</v>
      </c>
      <c r="B183" s="10">
        <v>0.29157138373855807</v>
      </c>
      <c r="C183" s="10">
        <v>0.31720870647990301</v>
      </c>
      <c r="D183" s="10">
        <v>0.91917837619955356</v>
      </c>
      <c r="E183" s="10">
        <v>0.37015648540085555</v>
      </c>
      <c r="F183" s="10">
        <v>-0.37485937906142031</v>
      </c>
      <c r="G183" s="10">
        <v>0.95800214653853644</v>
      </c>
      <c r="H183" s="10">
        <v>-0.37485937906142031</v>
      </c>
      <c r="I183" s="10">
        <v>0.95800214653853644</v>
      </c>
      <c r="L183" s="10" t="s">
        <v>80</v>
      </c>
      <c r="M183" s="10">
        <v>-0.3422911272521314</v>
      </c>
      <c r="N183" s="10">
        <v>0.26758444275725851</v>
      </c>
      <c r="O183" s="10">
        <v>-1.2791891924847203</v>
      </c>
      <c r="P183" s="10">
        <v>0.21801576560536737</v>
      </c>
      <c r="Q183" s="10">
        <v>-0.90684495296724288</v>
      </c>
      <c r="R183" s="10">
        <v>0.22226269846298008</v>
      </c>
      <c r="S183" s="10">
        <v>-0.90684495296724288</v>
      </c>
      <c r="T183" s="10">
        <v>0.22226269846298008</v>
      </c>
    </row>
    <row r="184" spans="1:20" ht="15" thickBot="1" x14ac:dyDescent="0.35">
      <c r="A184" s="11" t="s">
        <v>152</v>
      </c>
      <c r="B184" s="11">
        <v>8.3182403516186714</v>
      </c>
      <c r="C184" s="11">
        <v>1.5242537579645115</v>
      </c>
      <c r="D184" s="11">
        <v>5.4572542846978775</v>
      </c>
      <c r="E184" s="11">
        <v>3.4890075437856143E-5</v>
      </c>
      <c r="F184" s="11">
        <v>5.1159020365908008</v>
      </c>
      <c r="G184" s="11">
        <v>11.520578666646543</v>
      </c>
      <c r="H184" s="11">
        <v>5.1159020365908008</v>
      </c>
      <c r="I184" s="11">
        <v>11.520578666646543</v>
      </c>
      <c r="L184" s="10" t="s">
        <v>152</v>
      </c>
      <c r="M184" s="10">
        <v>7.6780682258370261</v>
      </c>
      <c r="N184" s="10">
        <v>1.0886522807693153</v>
      </c>
      <c r="O184" s="10">
        <v>7.0528196757289514</v>
      </c>
      <c r="P184" s="10">
        <v>1.9411405650243861E-6</v>
      </c>
      <c r="Q184" s="10">
        <v>5.3812126850261546</v>
      </c>
      <c r="R184" s="10">
        <v>9.9749237666478976</v>
      </c>
      <c r="S184" s="10">
        <v>5.3812126850261546</v>
      </c>
      <c r="T184" s="10">
        <v>9.9749237666478976</v>
      </c>
    </row>
    <row r="185" spans="1:20" ht="15" thickBot="1" x14ac:dyDescent="0.35">
      <c r="L185" s="11" t="s">
        <v>153</v>
      </c>
      <c r="M185" s="11">
        <v>0.12489128747066079</v>
      </c>
      <c r="N185" s="11">
        <v>2.8695381562027222E-2</v>
      </c>
      <c r="O185" s="11">
        <v>4.3523131832451467</v>
      </c>
      <c r="P185" s="11">
        <v>4.3336737285468266E-4</v>
      </c>
      <c r="Q185" s="11">
        <v>6.4349324439224809E-2</v>
      </c>
      <c r="R185" s="11">
        <v>0.18543325050209677</v>
      </c>
      <c r="S185" s="11">
        <v>6.4349324439224809E-2</v>
      </c>
      <c r="T185" s="11">
        <v>0.18543325050209677</v>
      </c>
    </row>
    <row r="189" spans="1:20" x14ac:dyDescent="0.3">
      <c r="A189" t="s">
        <v>123</v>
      </c>
      <c r="I189">
        <f>((C179-N179)/(M178-B178))/(N179/(B180+1-(M178+1)))</f>
        <v>18.942630045049494</v>
      </c>
      <c r="K189" t="s">
        <v>292</v>
      </c>
    </row>
    <row r="190" spans="1:20" x14ac:dyDescent="0.3">
      <c r="A190" t="s">
        <v>124</v>
      </c>
      <c r="I190">
        <f>_xlfn.F.DIST.RT(I189,B179-M179,M179)</f>
        <v>4.3336737285468315E-4</v>
      </c>
    </row>
    <row r="191" spans="1:20" x14ac:dyDescent="0.3">
      <c r="A191" t="s">
        <v>310</v>
      </c>
    </row>
    <row r="192" spans="1:20" x14ac:dyDescent="0.3">
      <c r="A192" t="s">
        <v>311</v>
      </c>
    </row>
    <row r="196" spans="1:11" x14ac:dyDescent="0.3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</row>
    <row r="197" spans="1:11" x14ac:dyDescent="0.3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</row>
    <row r="198" spans="1:11" x14ac:dyDescent="0.3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</row>
    <row r="199" spans="1:11" x14ac:dyDescent="0.3">
      <c r="A199" s="24"/>
      <c r="B199" s="24"/>
      <c r="C199" s="7"/>
      <c r="D199" s="7"/>
      <c r="E199" s="7"/>
      <c r="F199" s="7"/>
      <c r="G199" s="7"/>
      <c r="H199" s="7"/>
      <c r="I199" s="7"/>
      <c r="J199" s="7"/>
      <c r="K199" s="7"/>
    </row>
    <row r="200" spans="1:11" x14ac:dyDescent="0.3">
      <c r="A200" s="10"/>
      <c r="B200" s="10"/>
      <c r="C200" s="7"/>
      <c r="D200" s="7"/>
      <c r="E200" s="7"/>
      <c r="F200" s="7"/>
      <c r="G200" s="7"/>
      <c r="H200" s="7"/>
      <c r="I200" s="7"/>
      <c r="J200" s="7"/>
      <c r="K200" s="7"/>
    </row>
    <row r="201" spans="1:11" x14ac:dyDescent="0.3">
      <c r="A201" s="10"/>
      <c r="B201" s="10"/>
      <c r="C201" s="7"/>
      <c r="D201" s="7"/>
      <c r="E201" s="7"/>
      <c r="F201" s="7"/>
      <c r="G201" s="7"/>
      <c r="H201" s="7"/>
      <c r="I201" s="7"/>
      <c r="J201" s="7"/>
      <c r="K201" s="7"/>
    </row>
    <row r="202" spans="1:11" x14ac:dyDescent="0.3">
      <c r="A202" s="10"/>
      <c r="B202" s="10"/>
      <c r="C202" s="7"/>
      <c r="D202" s="7"/>
      <c r="E202" s="7"/>
      <c r="F202" s="7"/>
      <c r="G202" s="7"/>
      <c r="H202" s="7"/>
      <c r="I202" s="7"/>
      <c r="J202" s="7"/>
      <c r="K202" s="7"/>
    </row>
    <row r="203" spans="1:11" x14ac:dyDescent="0.3">
      <c r="A203" s="10"/>
      <c r="B203" s="10"/>
      <c r="C203" s="7"/>
      <c r="D203" s="7"/>
      <c r="E203" s="7"/>
      <c r="F203" s="7"/>
      <c r="G203" s="7"/>
      <c r="H203" s="7"/>
      <c r="I203" s="7"/>
      <c r="J203" s="7"/>
      <c r="K203" s="7"/>
    </row>
    <row r="204" spans="1:11" x14ac:dyDescent="0.3">
      <c r="A204" s="10"/>
      <c r="B204" s="10"/>
      <c r="C204" s="7"/>
      <c r="D204" s="7"/>
      <c r="E204" s="7"/>
      <c r="F204" s="7"/>
      <c r="G204" s="7"/>
      <c r="H204" s="7"/>
      <c r="I204" s="7"/>
      <c r="J204" s="7"/>
      <c r="K204" s="7"/>
    </row>
    <row r="205" spans="1:11" x14ac:dyDescent="0.3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</row>
    <row r="206" spans="1:11" x14ac:dyDescent="0.3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</row>
    <row r="207" spans="1:11" x14ac:dyDescent="0.3">
      <c r="A207" s="25"/>
      <c r="B207" s="25"/>
      <c r="C207" s="25"/>
      <c r="D207" s="25"/>
      <c r="E207" s="25"/>
      <c r="F207" s="25"/>
      <c r="G207" s="7"/>
      <c r="H207" s="7"/>
      <c r="I207" s="7"/>
      <c r="J207" s="7"/>
      <c r="K207" s="7"/>
    </row>
    <row r="208" spans="1:11" x14ac:dyDescent="0.3">
      <c r="A208" s="10"/>
      <c r="B208" s="10"/>
      <c r="C208" s="10"/>
      <c r="D208" s="10"/>
      <c r="E208" s="10"/>
      <c r="F208" s="10"/>
      <c r="G208" s="7"/>
      <c r="H208" s="7"/>
      <c r="I208" s="7"/>
      <c r="J208" s="7"/>
      <c r="K208" s="7"/>
    </row>
    <row r="209" spans="1:11" x14ac:dyDescent="0.3">
      <c r="A209" s="10"/>
      <c r="B209" s="10"/>
      <c r="C209" s="10"/>
      <c r="D209" s="10"/>
      <c r="E209" s="10"/>
      <c r="F209" s="10"/>
      <c r="G209" s="7"/>
      <c r="H209" s="7"/>
      <c r="I209" s="7"/>
      <c r="J209" s="7"/>
      <c r="K209" s="7"/>
    </row>
    <row r="210" spans="1:11" x14ac:dyDescent="0.3">
      <c r="A210" s="10"/>
      <c r="B210" s="10"/>
      <c r="C210" s="10"/>
      <c r="D210" s="10"/>
      <c r="E210" s="10"/>
      <c r="F210" s="10"/>
      <c r="G210" s="7"/>
      <c r="H210" s="7"/>
      <c r="I210" s="7"/>
      <c r="J210" s="7"/>
      <c r="K210" s="7"/>
    </row>
    <row r="211" spans="1:11" x14ac:dyDescent="0.3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</row>
    <row r="212" spans="1:11" x14ac:dyDescent="0.3">
      <c r="A212" s="25"/>
      <c r="B212" s="25"/>
      <c r="C212" s="25"/>
      <c r="D212" s="25"/>
      <c r="E212" s="25"/>
      <c r="F212" s="25"/>
      <c r="G212" s="25"/>
      <c r="H212" s="25"/>
      <c r="I212" s="25"/>
      <c r="J212" s="7"/>
      <c r="K212" s="7"/>
    </row>
    <row r="213" spans="1:11" x14ac:dyDescent="0.3">
      <c r="A213" s="10"/>
      <c r="B213" s="10"/>
      <c r="C213" s="10"/>
      <c r="D213" s="10"/>
      <c r="E213" s="10"/>
      <c r="F213" s="10"/>
      <c r="G213" s="10"/>
      <c r="H213" s="10"/>
      <c r="I213" s="10"/>
      <c r="J213" s="7"/>
      <c r="K213" s="7"/>
    </row>
    <row r="214" spans="1:11" x14ac:dyDescent="0.3">
      <c r="A214" s="10"/>
      <c r="B214" s="10"/>
      <c r="C214" s="10"/>
      <c r="D214" s="10"/>
      <c r="E214" s="10"/>
      <c r="F214" s="10"/>
      <c r="G214" s="10"/>
      <c r="H214" s="10"/>
      <c r="I214" s="10"/>
      <c r="J214" s="7"/>
      <c r="K214" s="7"/>
    </row>
    <row r="215" spans="1:11" x14ac:dyDescent="0.3">
      <c r="A215" s="10"/>
      <c r="B215" s="10"/>
      <c r="C215" s="10"/>
      <c r="D215" s="10"/>
      <c r="E215" s="10"/>
      <c r="F215" s="10"/>
      <c r="G215" s="10"/>
      <c r="H215" s="10"/>
      <c r="I215" s="10"/>
      <c r="J215" s="7"/>
      <c r="K215" s="7"/>
    </row>
    <row r="216" spans="1:11" x14ac:dyDescent="0.3">
      <c r="A216" s="10"/>
      <c r="B216" s="10"/>
      <c r="C216" s="10"/>
      <c r="D216" s="10"/>
      <c r="E216" s="10"/>
      <c r="F216" s="10"/>
      <c r="G216" s="10"/>
      <c r="H216" s="10"/>
      <c r="I216" s="10"/>
      <c r="J216" s="7"/>
      <c r="K216" s="7"/>
    </row>
    <row r="217" spans="1:11" x14ac:dyDescent="0.3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</row>
    <row r="218" spans="1:11" x14ac:dyDescent="0.3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9"/>
  <sheetViews>
    <sheetView topLeftCell="A199" workbookViewId="0">
      <selection activeCell="A221" sqref="A221:A222"/>
    </sheetView>
  </sheetViews>
  <sheetFormatPr defaultRowHeight="14.4" x14ac:dyDescent="0.3"/>
  <cols>
    <col min="1" max="1" width="14.33203125" customWidth="1"/>
  </cols>
  <sheetData>
    <row r="1" spans="1:15" x14ac:dyDescent="0.3">
      <c r="A1" t="s">
        <v>199</v>
      </c>
      <c r="B1" s="1" t="s">
        <v>4</v>
      </c>
      <c r="L1" t="s">
        <v>8</v>
      </c>
      <c r="M1">
        <f>12+1.7+0.4*16+0.2*14</f>
        <v>22.900000000000002</v>
      </c>
      <c r="N1" t="s">
        <v>18</v>
      </c>
    </row>
    <row r="2" spans="1:15" x14ac:dyDescent="0.3">
      <c r="L2" t="s">
        <v>9</v>
      </c>
      <c r="N2" t="s">
        <v>41</v>
      </c>
    </row>
    <row r="5" spans="1:15" x14ac:dyDescent="0.3">
      <c r="A5" t="s">
        <v>0</v>
      </c>
      <c r="B5" t="s">
        <v>0</v>
      </c>
      <c r="C5" t="s">
        <v>3</v>
      </c>
      <c r="D5" t="s">
        <v>3</v>
      </c>
      <c r="E5" t="s">
        <v>289</v>
      </c>
      <c r="F5" t="s">
        <v>289</v>
      </c>
      <c r="G5" t="s">
        <v>245</v>
      </c>
      <c r="I5" t="s">
        <v>13</v>
      </c>
      <c r="J5" t="s">
        <v>13</v>
      </c>
      <c r="K5" t="s">
        <v>5</v>
      </c>
      <c r="L5" t="s">
        <v>7</v>
      </c>
      <c r="M5" t="s">
        <v>7</v>
      </c>
      <c r="N5" t="s">
        <v>11</v>
      </c>
      <c r="O5" t="s">
        <v>10</v>
      </c>
    </row>
    <row r="6" spans="1:15" s="2" customFormat="1" x14ac:dyDescent="0.3">
      <c r="A6" s="2" t="s">
        <v>1</v>
      </c>
      <c r="B6" s="2" t="s">
        <v>2</v>
      </c>
      <c r="C6" s="2" t="s">
        <v>1</v>
      </c>
      <c r="D6" s="2" t="s">
        <v>2</v>
      </c>
      <c r="E6" s="2" t="s">
        <v>12</v>
      </c>
      <c r="F6" s="2" t="s">
        <v>17</v>
      </c>
      <c r="G6" s="2" t="s">
        <v>43</v>
      </c>
      <c r="I6" s="2" t="s">
        <v>14</v>
      </c>
      <c r="J6" s="2" t="s">
        <v>15</v>
      </c>
      <c r="K6" s="2" t="s">
        <v>6</v>
      </c>
      <c r="L6" s="2" t="s">
        <v>14</v>
      </c>
      <c r="M6" s="2" t="s">
        <v>15</v>
      </c>
      <c r="N6" s="2" t="s">
        <v>2</v>
      </c>
      <c r="O6" s="2" t="s">
        <v>16</v>
      </c>
    </row>
    <row r="7" spans="1:15" x14ac:dyDescent="0.3">
      <c r="A7">
        <v>9.1999999999999993</v>
      </c>
      <c r="B7">
        <f>A7/46</f>
        <v>0.19999999999999998</v>
      </c>
      <c r="C7">
        <v>20.2</v>
      </c>
      <c r="D7">
        <f>C7/180</f>
        <v>0.11222222222222222</v>
      </c>
      <c r="E7">
        <f>0.0142</f>
        <v>1.4200000000000001E-2</v>
      </c>
      <c r="F7">
        <f>E7*180/M$1</f>
        <v>0.11161572052401746</v>
      </c>
      <c r="G7">
        <f>1/F7</f>
        <v>8.9593114241001572</v>
      </c>
      <c r="I7">
        <v>0.55000000000000004</v>
      </c>
      <c r="J7">
        <f>I7*M$1/180</f>
        <v>6.9972222222222241E-2</v>
      </c>
      <c r="K7">
        <v>2.1000000000000001E-2</v>
      </c>
      <c r="L7">
        <f>-K7/E7-I7</f>
        <v>-2.0288732394366198</v>
      </c>
      <c r="M7">
        <f>L7/180*M$1</f>
        <v>-0.25811776212832555</v>
      </c>
      <c r="N7">
        <f>-K7*D7/M7</f>
        <v>9.1301995152702001E-3</v>
      </c>
      <c r="O7">
        <f>K7*B7/N7</f>
        <v>0.46001185329800587</v>
      </c>
    </row>
    <row r="8" spans="1:15" x14ac:dyDescent="0.3">
      <c r="A8">
        <v>9.1999999999999993</v>
      </c>
      <c r="B8">
        <f t="shared" ref="B8:B12" si="0">A8/46</f>
        <v>0.19999999999999998</v>
      </c>
      <c r="C8">
        <v>20.2</v>
      </c>
      <c r="D8">
        <f t="shared" ref="D8:D12" si="1">C8/180</f>
        <v>0.11222222222222222</v>
      </c>
      <c r="E8">
        <f t="shared" ref="E8:E12" si="2">0.0142</f>
        <v>1.4200000000000001E-2</v>
      </c>
      <c r="F8">
        <f t="shared" ref="F8:F22" si="3">E8*180/M$1</f>
        <v>0.11161572052401746</v>
      </c>
      <c r="G8">
        <f t="shared" ref="G8:G22" si="4">1/F8</f>
        <v>8.9593114241001572</v>
      </c>
      <c r="I8">
        <v>0.55000000000000004</v>
      </c>
      <c r="J8">
        <f t="shared" ref="J8:J22" si="5">I8*M$1/180</f>
        <v>6.9972222222222241E-2</v>
      </c>
      <c r="K8">
        <v>3.9E-2</v>
      </c>
      <c r="L8">
        <f t="shared" ref="L8:L12" si="6">-K8/E8-I8</f>
        <v>-3.2964788732394368</v>
      </c>
      <c r="M8">
        <f>L8/180*M$1</f>
        <v>-0.41938536776212837</v>
      </c>
      <c r="N8">
        <f t="shared" ref="N8:N12" si="7">-K8*D8/M8</f>
        <v>1.0435906932139494E-2</v>
      </c>
      <c r="O8">
        <f t="shared" ref="O8:O12" si="8">K8*B8/N8</f>
        <v>0.74741946729884268</v>
      </c>
    </row>
    <row r="9" spans="1:15" x14ac:dyDescent="0.3">
      <c r="A9">
        <v>9.1999999999999993</v>
      </c>
      <c r="B9">
        <f t="shared" si="0"/>
        <v>0.19999999999999998</v>
      </c>
      <c r="C9">
        <v>20.2</v>
      </c>
      <c r="D9">
        <f t="shared" si="1"/>
        <v>0.11222222222222222</v>
      </c>
      <c r="E9">
        <f t="shared" si="2"/>
        <v>1.4200000000000001E-2</v>
      </c>
      <c r="F9">
        <f t="shared" si="3"/>
        <v>0.11161572052401746</v>
      </c>
      <c r="G9">
        <f t="shared" si="4"/>
        <v>8.9593114241001572</v>
      </c>
      <c r="I9">
        <v>0.55000000000000004</v>
      </c>
      <c r="J9">
        <f t="shared" si="5"/>
        <v>6.9972222222222241E-2</v>
      </c>
      <c r="K9">
        <v>0.05</v>
      </c>
      <c r="L9">
        <f t="shared" si="6"/>
        <v>-4.0711267605633807</v>
      </c>
      <c r="M9">
        <f t="shared" ref="M9:M22" si="9">L9/180*M$1</f>
        <v>-0.51793779342723023</v>
      </c>
      <c r="N9">
        <f t="shared" si="7"/>
        <v>1.0833561833713661E-2</v>
      </c>
      <c r="O9">
        <f t="shared" si="8"/>
        <v>0.92305745363268743</v>
      </c>
    </row>
    <row r="10" spans="1:15" x14ac:dyDescent="0.3">
      <c r="A10">
        <v>9.1999999999999993</v>
      </c>
      <c r="B10">
        <f t="shared" si="0"/>
        <v>0.19999999999999998</v>
      </c>
      <c r="C10">
        <v>20.2</v>
      </c>
      <c r="D10">
        <f t="shared" si="1"/>
        <v>0.11222222222222222</v>
      </c>
      <c r="E10">
        <f t="shared" si="2"/>
        <v>1.4200000000000001E-2</v>
      </c>
      <c r="F10">
        <f t="shared" si="3"/>
        <v>0.11161572052401746</v>
      </c>
      <c r="G10">
        <f t="shared" si="4"/>
        <v>8.9593114241001572</v>
      </c>
      <c r="I10">
        <v>0.55000000000000004</v>
      </c>
      <c r="J10">
        <f t="shared" si="5"/>
        <v>6.9972222222222241E-2</v>
      </c>
      <c r="K10">
        <v>6.4000000000000001E-2</v>
      </c>
      <c r="L10">
        <f t="shared" si="6"/>
        <v>-5.0570422535211268</v>
      </c>
      <c r="M10">
        <f t="shared" si="9"/>
        <v>-0.64336815336463227</v>
      </c>
      <c r="N10">
        <f t="shared" si="7"/>
        <v>1.1163471776868727E-2</v>
      </c>
      <c r="O10">
        <f t="shared" si="8"/>
        <v>1.1465967089666711</v>
      </c>
    </row>
    <row r="11" spans="1:15" x14ac:dyDescent="0.3">
      <c r="A11">
        <v>9.1999999999999993</v>
      </c>
      <c r="B11">
        <f t="shared" si="0"/>
        <v>0.19999999999999998</v>
      </c>
      <c r="C11">
        <v>20.2</v>
      </c>
      <c r="D11">
        <f t="shared" si="1"/>
        <v>0.11222222222222222</v>
      </c>
      <c r="E11">
        <f t="shared" si="2"/>
        <v>1.4200000000000001E-2</v>
      </c>
      <c r="F11">
        <f t="shared" si="3"/>
        <v>0.11161572052401746</v>
      </c>
      <c r="G11">
        <f t="shared" si="4"/>
        <v>8.9593114241001572</v>
      </c>
      <c r="I11">
        <v>0.55000000000000004</v>
      </c>
      <c r="J11">
        <f t="shared" si="5"/>
        <v>6.9972222222222241E-2</v>
      </c>
      <c r="K11">
        <v>7.2999999999999995E-2</v>
      </c>
      <c r="L11">
        <f t="shared" si="6"/>
        <v>-5.6908450704225348</v>
      </c>
      <c r="M11">
        <f t="shared" si="9"/>
        <v>-0.72400195618153362</v>
      </c>
      <c r="N11">
        <f t="shared" si="7"/>
        <v>1.1315193491228819E-2</v>
      </c>
      <c r="O11">
        <f t="shared" si="8"/>
        <v>1.2903005159670895</v>
      </c>
    </row>
    <row r="12" spans="1:15" x14ac:dyDescent="0.3">
      <c r="A12">
        <v>9.1999999999999993</v>
      </c>
      <c r="B12">
        <f t="shared" si="0"/>
        <v>0.19999999999999998</v>
      </c>
      <c r="C12">
        <v>20.2</v>
      </c>
      <c r="D12">
        <f t="shared" si="1"/>
        <v>0.11222222222222222</v>
      </c>
      <c r="E12">
        <f t="shared" si="2"/>
        <v>1.4200000000000001E-2</v>
      </c>
      <c r="F12">
        <f t="shared" si="3"/>
        <v>0.11161572052401746</v>
      </c>
      <c r="G12">
        <f t="shared" si="4"/>
        <v>8.9593114241001572</v>
      </c>
      <c r="I12">
        <v>0.55000000000000004</v>
      </c>
      <c r="J12">
        <f t="shared" si="5"/>
        <v>6.9972222222222241E-2</v>
      </c>
      <c r="K12">
        <v>9.7000000000000003E-2</v>
      </c>
      <c r="L12">
        <f t="shared" si="6"/>
        <v>-7.3809859154929578</v>
      </c>
      <c r="M12">
        <f t="shared" si="9"/>
        <v>-0.93902543035993746</v>
      </c>
      <c r="N12">
        <f t="shared" si="7"/>
        <v>1.1592396972021321E-2</v>
      </c>
      <c r="O12">
        <f t="shared" si="8"/>
        <v>1.6735106679682052</v>
      </c>
    </row>
    <row r="13" spans="1:15" x14ac:dyDescent="0.3">
      <c r="A13">
        <v>18.2</v>
      </c>
      <c r="B13">
        <f t="shared" ref="B13:B17" si="10">A13/46</f>
        <v>0.39565217391304347</v>
      </c>
      <c r="C13">
        <v>40</v>
      </c>
      <c r="D13">
        <f t="shared" ref="D13:D17" si="11">C13/180</f>
        <v>0.22222222222222221</v>
      </c>
      <c r="E13">
        <v>1.34E-2</v>
      </c>
      <c r="F13">
        <f t="shared" si="3"/>
        <v>0.10532751091703055</v>
      </c>
      <c r="G13">
        <f t="shared" si="4"/>
        <v>9.4941956882255401</v>
      </c>
      <c r="I13">
        <v>1.24</v>
      </c>
      <c r="J13">
        <f t="shared" si="5"/>
        <v>0.15775555555555557</v>
      </c>
      <c r="K13">
        <v>2.1999999999999999E-2</v>
      </c>
      <c r="L13">
        <f t="shared" ref="L13:L17" si="12">-K13/E13-I13</f>
        <v>-2.8817910447761195</v>
      </c>
      <c r="M13">
        <f t="shared" si="9"/>
        <v>-0.36662786069651743</v>
      </c>
      <c r="N13">
        <f t="shared" ref="N13:N17" si="13">-K13*D13/M13</f>
        <v>1.3334744608882168E-2</v>
      </c>
      <c r="O13">
        <f t="shared" ref="O13:O17" si="14">K13*B13/N13</f>
        <v>0.65275699545749521</v>
      </c>
    </row>
    <row r="14" spans="1:15" x14ac:dyDescent="0.3">
      <c r="A14">
        <v>18.2</v>
      </c>
      <c r="B14">
        <f t="shared" ref="B14:B16" si="15">A14/46</f>
        <v>0.39565217391304347</v>
      </c>
      <c r="C14">
        <v>40</v>
      </c>
      <c r="D14">
        <f t="shared" ref="D14:D16" si="16">C14/180</f>
        <v>0.22222222222222221</v>
      </c>
      <c r="E14">
        <v>1.34E-2</v>
      </c>
      <c r="F14">
        <f t="shared" si="3"/>
        <v>0.10532751091703055</v>
      </c>
      <c r="G14">
        <f t="shared" si="4"/>
        <v>9.4941956882255401</v>
      </c>
      <c r="I14">
        <v>1.24</v>
      </c>
      <c r="J14">
        <f t="shared" si="5"/>
        <v>0.15775555555555557</v>
      </c>
      <c r="K14">
        <v>4.7500000000000001E-2</v>
      </c>
      <c r="L14">
        <f t="shared" si="12"/>
        <v>-4.7847761194029852</v>
      </c>
      <c r="M14">
        <f t="shared" si="9"/>
        <v>-0.60872985074626873</v>
      </c>
      <c r="N14">
        <f t="shared" si="13"/>
        <v>1.7340295605045547E-2</v>
      </c>
      <c r="O14">
        <f t="shared" si="14"/>
        <v>1.0838037994808567</v>
      </c>
    </row>
    <row r="15" spans="1:15" x14ac:dyDescent="0.3">
      <c r="A15">
        <v>18.2</v>
      </c>
      <c r="B15">
        <f t="shared" si="15"/>
        <v>0.39565217391304347</v>
      </c>
      <c r="C15">
        <v>40</v>
      </c>
      <c r="D15">
        <f t="shared" si="16"/>
        <v>0.22222222222222221</v>
      </c>
      <c r="E15">
        <v>1.34E-2</v>
      </c>
      <c r="F15">
        <f t="shared" si="3"/>
        <v>0.10532751091703055</v>
      </c>
      <c r="G15">
        <f t="shared" si="4"/>
        <v>9.4941956882255401</v>
      </c>
      <c r="I15">
        <v>1.24</v>
      </c>
      <c r="J15">
        <f t="shared" si="5"/>
        <v>0.15775555555555557</v>
      </c>
      <c r="K15">
        <v>6.3500000000000001E-2</v>
      </c>
      <c r="L15">
        <f t="shared" si="12"/>
        <v>-5.9788059701492537</v>
      </c>
      <c r="M15">
        <f t="shared" si="9"/>
        <v>-0.76063698175787731</v>
      </c>
      <c r="N15">
        <f t="shared" si="13"/>
        <v>1.8551702651243031E-2</v>
      </c>
      <c r="O15">
        <f t="shared" si="14"/>
        <v>1.3542645392602208</v>
      </c>
    </row>
    <row r="16" spans="1:15" x14ac:dyDescent="0.3">
      <c r="A16">
        <v>18.2</v>
      </c>
      <c r="B16">
        <f t="shared" si="15"/>
        <v>0.39565217391304347</v>
      </c>
      <c r="C16">
        <v>40</v>
      </c>
      <c r="D16">
        <f t="shared" si="16"/>
        <v>0.22222222222222221</v>
      </c>
      <c r="E16">
        <v>1.34E-2</v>
      </c>
      <c r="F16">
        <f t="shared" si="3"/>
        <v>0.10532751091703055</v>
      </c>
      <c r="G16">
        <f t="shared" si="4"/>
        <v>9.4941956882255401</v>
      </c>
      <c r="I16">
        <v>1.24</v>
      </c>
      <c r="J16">
        <f t="shared" si="5"/>
        <v>0.15775555555555557</v>
      </c>
      <c r="K16">
        <v>0.104</v>
      </c>
      <c r="L16">
        <f t="shared" si="12"/>
        <v>-9.0011940298507458</v>
      </c>
      <c r="M16">
        <f t="shared" si="9"/>
        <v>-1.1451519071310117</v>
      </c>
      <c r="N16">
        <f t="shared" si="13"/>
        <v>2.0181699010581197E-2</v>
      </c>
      <c r="O16">
        <f t="shared" si="14"/>
        <v>2.038868286826736</v>
      </c>
    </row>
    <row r="17" spans="1:15" x14ac:dyDescent="0.3">
      <c r="A17">
        <v>27</v>
      </c>
      <c r="B17">
        <f t="shared" si="10"/>
        <v>0.58695652173913049</v>
      </c>
      <c r="C17">
        <v>60</v>
      </c>
      <c r="D17">
        <f t="shared" si="11"/>
        <v>0.33333333333333331</v>
      </c>
      <c r="E17">
        <v>1.0800000000000001E-2</v>
      </c>
      <c r="F17">
        <f t="shared" si="3"/>
        <v>8.4890829694323142E-2</v>
      </c>
      <c r="G17">
        <f t="shared" si="4"/>
        <v>11.779835390946502</v>
      </c>
      <c r="I17">
        <v>2.13</v>
      </c>
      <c r="J17">
        <f t="shared" si="5"/>
        <v>0.27098333333333335</v>
      </c>
      <c r="K17">
        <v>0.01</v>
      </c>
      <c r="L17">
        <f t="shared" si="12"/>
        <v>-3.0559259259259259</v>
      </c>
      <c r="M17">
        <f t="shared" si="9"/>
        <v>-0.38878168724279838</v>
      </c>
      <c r="N17">
        <f t="shared" si="13"/>
        <v>8.5737920347354994E-3</v>
      </c>
      <c r="O17">
        <f t="shared" si="14"/>
        <v>0.68459384057971029</v>
      </c>
    </row>
    <row r="18" spans="1:15" x14ac:dyDescent="0.3">
      <c r="A18">
        <v>27</v>
      </c>
      <c r="B18">
        <f t="shared" ref="B18:B22" si="17">A18/46</f>
        <v>0.58695652173913049</v>
      </c>
      <c r="C18">
        <v>60</v>
      </c>
      <c r="D18">
        <f t="shared" ref="D18:D22" si="18">C18/180</f>
        <v>0.33333333333333331</v>
      </c>
      <c r="E18">
        <v>1.0800000000000001E-2</v>
      </c>
      <c r="F18">
        <f t="shared" si="3"/>
        <v>8.4890829694323142E-2</v>
      </c>
      <c r="G18">
        <f t="shared" si="4"/>
        <v>11.779835390946502</v>
      </c>
      <c r="I18">
        <v>2.13</v>
      </c>
      <c r="J18">
        <f t="shared" si="5"/>
        <v>0.27098333333333335</v>
      </c>
      <c r="K18">
        <v>2.7E-2</v>
      </c>
      <c r="L18">
        <f t="shared" ref="L18:L22" si="19">-K18/E18-I18</f>
        <v>-4.63</v>
      </c>
      <c r="M18">
        <f t="shared" si="9"/>
        <v>-0.589038888888889</v>
      </c>
      <c r="N18">
        <f t="shared" ref="N18:N22" si="20">-K18*D18/M18</f>
        <v>1.5279127014816976E-2</v>
      </c>
      <c r="O18">
        <f t="shared" ref="O18:O22" si="21">K18*B18/N18</f>
        <v>1.0372206521739136</v>
      </c>
    </row>
    <row r="19" spans="1:15" x14ac:dyDescent="0.3">
      <c r="A19">
        <v>27</v>
      </c>
      <c r="B19">
        <f t="shared" si="17"/>
        <v>0.58695652173913049</v>
      </c>
      <c r="C19">
        <v>60</v>
      </c>
      <c r="D19">
        <f t="shared" si="18"/>
        <v>0.33333333333333331</v>
      </c>
      <c r="E19">
        <v>1.0800000000000001E-2</v>
      </c>
      <c r="F19">
        <f t="shared" si="3"/>
        <v>8.4890829694323142E-2</v>
      </c>
      <c r="G19">
        <f t="shared" si="4"/>
        <v>11.779835390946502</v>
      </c>
      <c r="I19">
        <v>2.13</v>
      </c>
      <c r="J19">
        <f t="shared" si="5"/>
        <v>0.27098333333333335</v>
      </c>
      <c r="K19">
        <v>3.7999999999999999E-2</v>
      </c>
      <c r="L19">
        <f t="shared" si="19"/>
        <v>-5.6485185185185181</v>
      </c>
      <c r="M19">
        <f t="shared" si="9"/>
        <v>-0.71861707818930043</v>
      </c>
      <c r="N19">
        <f t="shared" si="20"/>
        <v>1.7626448147576548E-2</v>
      </c>
      <c r="O19">
        <f t="shared" si="21"/>
        <v>1.2653909420289857</v>
      </c>
    </row>
    <row r="20" spans="1:15" x14ac:dyDescent="0.3">
      <c r="A20">
        <v>27</v>
      </c>
      <c r="B20">
        <f t="shared" si="17"/>
        <v>0.58695652173913049</v>
      </c>
      <c r="C20">
        <v>60</v>
      </c>
      <c r="D20">
        <f t="shared" si="18"/>
        <v>0.33333333333333331</v>
      </c>
      <c r="E20">
        <v>1.0800000000000001E-2</v>
      </c>
      <c r="F20">
        <f t="shared" si="3"/>
        <v>8.4890829694323142E-2</v>
      </c>
      <c r="G20">
        <f t="shared" si="4"/>
        <v>11.779835390946502</v>
      </c>
      <c r="I20">
        <v>2.13</v>
      </c>
      <c r="J20">
        <f t="shared" si="5"/>
        <v>0.27098333333333335</v>
      </c>
      <c r="K20">
        <v>0.05</v>
      </c>
      <c r="L20">
        <f t="shared" si="19"/>
        <v>-6.7596296296296297</v>
      </c>
      <c r="M20">
        <f t="shared" si="9"/>
        <v>-0.85997510288065859</v>
      </c>
      <c r="N20">
        <f t="shared" si="20"/>
        <v>1.9380406026684182E-2</v>
      </c>
      <c r="O20">
        <f t="shared" si="21"/>
        <v>1.5143039855072471</v>
      </c>
    </row>
    <row r="21" spans="1:15" x14ac:dyDescent="0.3">
      <c r="A21">
        <v>27</v>
      </c>
      <c r="B21">
        <f t="shared" si="17"/>
        <v>0.58695652173913049</v>
      </c>
      <c r="C21">
        <v>60</v>
      </c>
      <c r="D21">
        <f t="shared" si="18"/>
        <v>0.33333333333333331</v>
      </c>
      <c r="E21">
        <v>1.0800000000000001E-2</v>
      </c>
      <c r="F21">
        <f t="shared" si="3"/>
        <v>8.4890829694323142E-2</v>
      </c>
      <c r="G21">
        <f t="shared" si="4"/>
        <v>11.779835390946502</v>
      </c>
      <c r="I21">
        <v>2.13</v>
      </c>
      <c r="J21">
        <f t="shared" si="5"/>
        <v>0.27098333333333335</v>
      </c>
      <c r="K21">
        <v>6.2E-2</v>
      </c>
      <c r="L21">
        <f t="shared" si="19"/>
        <v>-7.8707407407407404</v>
      </c>
      <c r="M21">
        <f t="shared" si="9"/>
        <v>-1.0013331275720165</v>
      </c>
      <c r="N21">
        <f t="shared" si="20"/>
        <v>2.0639152044013752E-2</v>
      </c>
      <c r="O21">
        <f t="shared" si="21"/>
        <v>1.7632170289855071</v>
      </c>
    </row>
    <row r="22" spans="1:15" x14ac:dyDescent="0.3">
      <c r="A22">
        <v>27</v>
      </c>
      <c r="B22">
        <f t="shared" si="17"/>
        <v>0.58695652173913049</v>
      </c>
      <c r="C22">
        <v>60</v>
      </c>
      <c r="D22">
        <f t="shared" si="18"/>
        <v>0.33333333333333331</v>
      </c>
      <c r="E22">
        <v>1.0800000000000001E-2</v>
      </c>
      <c r="F22">
        <f t="shared" si="3"/>
        <v>8.4890829694323142E-2</v>
      </c>
      <c r="G22">
        <f t="shared" si="4"/>
        <v>11.779835390946502</v>
      </c>
      <c r="I22">
        <v>2.13</v>
      </c>
      <c r="J22">
        <f t="shared" si="5"/>
        <v>0.27098333333333335</v>
      </c>
      <c r="K22">
        <v>7.3999999999999996E-2</v>
      </c>
      <c r="L22">
        <f t="shared" si="19"/>
        <v>-8.9818518518518502</v>
      </c>
      <c r="M22">
        <f t="shared" si="9"/>
        <v>-1.1426911522633743</v>
      </c>
      <c r="N22">
        <f t="shared" si="20"/>
        <v>2.1586468590229658E-2</v>
      </c>
      <c r="O22">
        <f t="shared" si="21"/>
        <v>2.0121300724637678</v>
      </c>
    </row>
    <row r="41" spans="1:18" s="5" customFormat="1" x14ac:dyDescent="0.3">
      <c r="A41" s="5" t="s">
        <v>48</v>
      </c>
    </row>
    <row r="42" spans="1:18" s="5" customFormat="1" x14ac:dyDescent="0.3"/>
    <row r="43" spans="1:18" s="5" customFormat="1" x14ac:dyDescent="0.3">
      <c r="A43" s="5" t="s">
        <v>52</v>
      </c>
      <c r="C43" s="5" t="s">
        <v>51</v>
      </c>
      <c r="E43" s="5" t="s">
        <v>53</v>
      </c>
    </row>
    <row r="44" spans="1:18" x14ac:dyDescent="0.3">
      <c r="A44" s="2" t="s">
        <v>49</v>
      </c>
      <c r="B44" s="2" t="s">
        <v>50</v>
      </c>
      <c r="C44" s="2" t="s">
        <v>49</v>
      </c>
      <c r="D44" s="2" t="s">
        <v>50</v>
      </c>
      <c r="E44" s="2" t="s">
        <v>49</v>
      </c>
      <c r="F44" s="2" t="s">
        <v>50</v>
      </c>
    </row>
    <row r="45" spans="1:18" x14ac:dyDescent="0.3">
      <c r="A45">
        <v>2.0806979280261699E-2</v>
      </c>
      <c r="B45">
        <v>1.8739352640545099</v>
      </c>
      <c r="C45">
        <v>2.1853871319520098E-2</v>
      </c>
      <c r="D45">
        <v>2.9471890971039101</v>
      </c>
      <c r="E45">
        <v>1.00763358778625E-2</v>
      </c>
      <c r="F45">
        <v>3.4241908006814299</v>
      </c>
    </row>
    <row r="46" spans="1:18" x14ac:dyDescent="0.3">
      <c r="A46">
        <v>3.8996728462377298E-2</v>
      </c>
      <c r="B46">
        <v>3.5434412265758102</v>
      </c>
      <c r="C46">
        <v>4.6979280261723003E-2</v>
      </c>
      <c r="D46">
        <v>4.6507666098807396</v>
      </c>
      <c r="E46">
        <v>2.6434023991275899E-2</v>
      </c>
      <c r="F46">
        <v>4.1396933560477001</v>
      </c>
      <c r="Q46" t="s">
        <v>70</v>
      </c>
    </row>
    <row r="47" spans="1:18" ht="15" thickBot="1" x14ac:dyDescent="0.35">
      <c r="A47">
        <v>4.9858233369683702E-2</v>
      </c>
      <c r="B47">
        <v>4.0374787052810897</v>
      </c>
      <c r="C47">
        <v>6.3991275899672795E-2</v>
      </c>
      <c r="D47">
        <v>7.0357751277683098</v>
      </c>
      <c r="E47">
        <v>3.72955288985823E-2</v>
      </c>
      <c r="F47">
        <v>5.4003407155025496</v>
      </c>
    </row>
    <row r="48" spans="1:18" x14ac:dyDescent="0.3">
      <c r="A48">
        <v>6.3991275899672795E-2</v>
      </c>
      <c r="B48">
        <v>4.9914821124361097</v>
      </c>
      <c r="C48">
        <v>0.10298800436205</v>
      </c>
      <c r="D48">
        <v>9.2844974446337307</v>
      </c>
      <c r="E48">
        <v>4.9989094874591002E-2</v>
      </c>
      <c r="F48">
        <v>6.6098807495741001</v>
      </c>
      <c r="Q48" s="13" t="s">
        <v>71</v>
      </c>
      <c r="R48" s="13"/>
    </row>
    <row r="49" spans="1:25" x14ac:dyDescent="0.3">
      <c r="A49">
        <v>7.2889858233369603E-2</v>
      </c>
      <c r="B49">
        <v>5.5536626916524696</v>
      </c>
      <c r="E49">
        <v>6.1504907306434001E-2</v>
      </c>
      <c r="F49">
        <v>8.0919931856899492</v>
      </c>
      <c r="Q49" s="10" t="s">
        <v>72</v>
      </c>
      <c r="R49" s="10">
        <v>0.99068294955871994</v>
      </c>
    </row>
    <row r="50" spans="1:25" x14ac:dyDescent="0.3">
      <c r="A50">
        <v>9.7360959651035903E-2</v>
      </c>
      <c r="B50">
        <v>7.4787052810902903</v>
      </c>
      <c r="E50">
        <v>7.3805888767720804E-2</v>
      </c>
      <c r="F50">
        <v>9.0119250425894304</v>
      </c>
      <c r="Q50" s="10" t="s">
        <v>73</v>
      </c>
      <c r="R50" s="10">
        <v>0.98145270654636518</v>
      </c>
    </row>
    <row r="51" spans="1:25" x14ac:dyDescent="0.3">
      <c r="Q51" s="10" t="s">
        <v>74</v>
      </c>
      <c r="R51" s="10">
        <v>0.97681588318295653</v>
      </c>
    </row>
    <row r="52" spans="1:25" x14ac:dyDescent="0.3">
      <c r="Q52" s="10" t="s">
        <v>69</v>
      </c>
      <c r="R52" s="10">
        <v>0.33496951961542248</v>
      </c>
    </row>
    <row r="53" spans="1:25" ht="15" thickBot="1" x14ac:dyDescent="0.35">
      <c r="A53" s="2" t="s">
        <v>291</v>
      </c>
      <c r="B53" s="2" t="s">
        <v>54</v>
      </c>
      <c r="C53" s="2" t="s">
        <v>94</v>
      </c>
      <c r="D53" s="2"/>
      <c r="E53" s="2" t="s">
        <v>245</v>
      </c>
      <c r="F53" s="2" t="s">
        <v>290</v>
      </c>
      <c r="Q53" s="11" t="s">
        <v>75</v>
      </c>
      <c r="R53" s="11">
        <v>6</v>
      </c>
    </row>
    <row r="54" spans="1:25" x14ac:dyDescent="0.3">
      <c r="A54">
        <v>9.1999999999999993</v>
      </c>
      <c r="B54">
        <v>0.52349999999999997</v>
      </c>
      <c r="C54">
        <v>0.16969999999999999</v>
      </c>
      <c r="E54">
        <f>70.77</f>
        <v>70.77</v>
      </c>
      <c r="F54">
        <f>1/E54</f>
        <v>1.4130281192595734E-2</v>
      </c>
    </row>
    <row r="55" spans="1:25" ht="15" thickBot="1" x14ac:dyDescent="0.35">
      <c r="A55">
        <v>18.2</v>
      </c>
      <c r="B55">
        <v>1.2544</v>
      </c>
      <c r="C55">
        <v>0.61970000000000003</v>
      </c>
      <c r="E55">
        <f>80.152</f>
        <v>80.152000000000001</v>
      </c>
      <c r="F55">
        <f t="shared" ref="F55:F56" si="22">1/E55</f>
        <v>1.2476295039425092E-2</v>
      </c>
      <c r="Q55" t="s">
        <v>76</v>
      </c>
    </row>
    <row r="56" spans="1:25" x14ac:dyDescent="0.3">
      <c r="A56">
        <v>27</v>
      </c>
      <c r="B56">
        <v>2.0859000000000001</v>
      </c>
      <c r="C56">
        <v>0.30869999999999997</v>
      </c>
      <c r="E56">
        <f>93.254</f>
        <v>93.254000000000005</v>
      </c>
      <c r="F56">
        <f t="shared" si="22"/>
        <v>1.0723400604799793E-2</v>
      </c>
      <c r="Q56" s="12"/>
      <c r="R56" s="12" t="s">
        <v>81</v>
      </c>
      <c r="S56" s="12" t="s">
        <v>82</v>
      </c>
      <c r="T56" s="12" t="s">
        <v>83</v>
      </c>
      <c r="U56" s="12" t="s">
        <v>84</v>
      </c>
      <c r="V56" s="12" t="s">
        <v>85</v>
      </c>
    </row>
    <row r="57" spans="1:25" x14ac:dyDescent="0.3">
      <c r="Q57" s="10" t="s">
        <v>77</v>
      </c>
      <c r="R57" s="10">
        <v>1</v>
      </c>
      <c r="S57" s="10">
        <v>23.749769871663233</v>
      </c>
      <c r="T57" s="10">
        <v>23.749769871663233</v>
      </c>
      <c r="U57" s="10">
        <v>211.66488986651007</v>
      </c>
      <c r="V57" s="10">
        <v>1.2980674879104878E-4</v>
      </c>
    </row>
    <row r="58" spans="1:25" x14ac:dyDescent="0.3">
      <c r="Q58" s="10" t="s">
        <v>78</v>
      </c>
      <c r="R58" s="10">
        <v>4</v>
      </c>
      <c r="S58" s="10">
        <v>0.44881831628554769</v>
      </c>
      <c r="T58" s="10">
        <v>0.11220457907138692</v>
      </c>
      <c r="U58" s="10"/>
      <c r="V58" s="10"/>
    </row>
    <row r="59" spans="1:25" ht="15" thickBot="1" x14ac:dyDescent="0.35">
      <c r="Q59" s="11" t="s">
        <v>79</v>
      </c>
      <c r="R59" s="11">
        <v>5</v>
      </c>
      <c r="S59" s="11">
        <v>24.198588187948779</v>
      </c>
      <c r="T59" s="11"/>
      <c r="U59" s="11"/>
      <c r="V59" s="11"/>
    </row>
    <row r="60" spans="1:25" ht="15" thickBot="1" x14ac:dyDescent="0.35"/>
    <row r="61" spans="1:25" x14ac:dyDescent="0.3">
      <c r="Q61" s="12"/>
      <c r="R61" s="12" t="s">
        <v>86</v>
      </c>
      <c r="S61" s="12" t="s">
        <v>69</v>
      </c>
      <c r="T61" s="12" t="s">
        <v>87</v>
      </c>
      <c r="U61" s="12" t="s">
        <v>88</v>
      </c>
      <c r="V61" s="12" t="s">
        <v>89</v>
      </c>
      <c r="W61" s="12" t="s">
        <v>90</v>
      </c>
      <c r="X61" s="12" t="s">
        <v>91</v>
      </c>
      <c r="Y61" s="12" t="s">
        <v>92</v>
      </c>
    </row>
    <row r="62" spans="1:25" x14ac:dyDescent="0.3">
      <c r="Q62" s="10" t="s">
        <v>80</v>
      </c>
      <c r="R62" s="10">
        <v>2.0858962002944095</v>
      </c>
      <c r="S62" s="10">
        <v>0.30873933177934071</v>
      </c>
      <c r="T62" s="10">
        <v>6.7561725558997505</v>
      </c>
      <c r="U62" s="10">
        <v>2.5028728787568101E-3</v>
      </c>
      <c r="V62" s="10">
        <v>1.2286983937936213</v>
      </c>
      <c r="W62" s="10">
        <v>2.9430940067951976</v>
      </c>
      <c r="X62" s="10">
        <v>1.2286983937936213</v>
      </c>
      <c r="Y62" s="10">
        <v>2.9430940067951976</v>
      </c>
    </row>
    <row r="63" spans="1:25" ht="15" thickBot="1" x14ac:dyDescent="0.35">
      <c r="Q63" s="11" t="s">
        <v>93</v>
      </c>
      <c r="R63" s="11">
        <v>93.253985591364767</v>
      </c>
      <c r="S63" s="11">
        <v>6.4097780234615653</v>
      </c>
      <c r="T63" s="11">
        <v>14.548707498142575</v>
      </c>
      <c r="U63" s="11">
        <v>1.2980674879104891E-4</v>
      </c>
      <c r="V63" s="11">
        <v>75.457588772720513</v>
      </c>
      <c r="W63" s="11">
        <v>111.05038241000902</v>
      </c>
      <c r="X63" s="11">
        <v>75.457588772720513</v>
      </c>
      <c r="Y63" s="11">
        <v>111.05038241000902</v>
      </c>
    </row>
    <row r="84" spans="1:9" x14ac:dyDescent="0.3">
      <c r="A84" s="5" t="s">
        <v>48</v>
      </c>
      <c r="B84" s="5"/>
      <c r="C84" s="5"/>
      <c r="D84" s="5"/>
      <c r="E84" s="5"/>
      <c r="F84" s="5"/>
    </row>
    <row r="85" spans="1:9" x14ac:dyDescent="0.3">
      <c r="A85" s="5"/>
      <c r="B85" s="5"/>
      <c r="C85" s="5"/>
      <c r="D85" s="5"/>
      <c r="E85" s="5"/>
      <c r="F85" s="5"/>
    </row>
    <row r="86" spans="1:9" x14ac:dyDescent="0.3">
      <c r="A86" s="5"/>
      <c r="B86" s="5"/>
      <c r="C86" s="5"/>
      <c r="D86" s="5"/>
      <c r="E86" s="5"/>
      <c r="F86" s="5"/>
    </row>
    <row r="87" spans="1:9" s="18" customFormat="1" x14ac:dyDescent="0.3">
      <c r="A87" s="18" t="s">
        <v>49</v>
      </c>
      <c r="B87" s="18" t="s">
        <v>138</v>
      </c>
      <c r="C87" s="18" t="s">
        <v>154</v>
      </c>
      <c r="I87" s="18" t="s">
        <v>50</v>
      </c>
    </row>
    <row r="88" spans="1:9" x14ac:dyDescent="0.3">
      <c r="A88">
        <v>2.0806979280261699E-2</v>
      </c>
      <c r="B88">
        <v>9.1999999999999993</v>
      </c>
      <c r="C88">
        <f>A88*B88</f>
        <v>0.19142420937840762</v>
      </c>
      <c r="I88">
        <v>1.8739352640545099</v>
      </c>
    </row>
    <row r="89" spans="1:9" x14ac:dyDescent="0.3">
      <c r="A89">
        <v>3.8996728462377298E-2</v>
      </c>
      <c r="B89">
        <v>9.1999999999999993</v>
      </c>
      <c r="C89">
        <f t="shared" ref="C89:C103" si="23">A89*B89</f>
        <v>0.35876990185387109</v>
      </c>
      <c r="I89">
        <v>3.5434412265758102</v>
      </c>
    </row>
    <row r="90" spans="1:9" x14ac:dyDescent="0.3">
      <c r="A90">
        <v>4.9858233369683702E-2</v>
      </c>
      <c r="B90">
        <v>9.1999999999999993</v>
      </c>
      <c r="C90">
        <f t="shared" si="23"/>
        <v>0.45869574700109</v>
      </c>
      <c r="I90">
        <v>4.0374787052810897</v>
      </c>
    </row>
    <row r="91" spans="1:9" x14ac:dyDescent="0.3">
      <c r="A91">
        <v>6.3991275899672795E-2</v>
      </c>
      <c r="B91">
        <v>9.1999999999999993</v>
      </c>
      <c r="C91">
        <f t="shared" si="23"/>
        <v>0.58871973827698965</v>
      </c>
      <c r="I91">
        <v>4.9914821124361097</v>
      </c>
    </row>
    <row r="92" spans="1:9" x14ac:dyDescent="0.3">
      <c r="A92">
        <v>7.2889858233369603E-2</v>
      </c>
      <c r="B92">
        <v>9.1999999999999993</v>
      </c>
      <c r="C92">
        <f t="shared" si="23"/>
        <v>0.67058669574700025</v>
      </c>
      <c r="I92">
        <v>5.5536626916524696</v>
      </c>
    </row>
    <row r="93" spans="1:9" x14ac:dyDescent="0.3">
      <c r="A93">
        <v>9.7360959651035903E-2</v>
      </c>
      <c r="B93">
        <v>9.1999999999999993</v>
      </c>
      <c r="C93">
        <f t="shared" si="23"/>
        <v>0.89572082878953019</v>
      </c>
      <c r="I93">
        <v>7.4787052810902903</v>
      </c>
    </row>
    <row r="94" spans="1:9" x14ac:dyDescent="0.3">
      <c r="A94">
        <v>2.1853871319520098E-2</v>
      </c>
      <c r="B94">
        <v>18.2</v>
      </c>
      <c r="C94">
        <f t="shared" si="23"/>
        <v>0.39774045801526575</v>
      </c>
      <c r="I94">
        <v>2.9471890971039101</v>
      </c>
    </row>
    <row r="95" spans="1:9" x14ac:dyDescent="0.3">
      <c r="A95">
        <v>4.6979280261723003E-2</v>
      </c>
      <c r="B95">
        <v>18.2</v>
      </c>
      <c r="C95">
        <f t="shared" si="23"/>
        <v>0.85502290076335863</v>
      </c>
      <c r="I95">
        <v>4.6507666098807396</v>
      </c>
    </row>
    <row r="96" spans="1:9" x14ac:dyDescent="0.3">
      <c r="A96">
        <v>6.3991275899672795E-2</v>
      </c>
      <c r="B96">
        <v>18.2</v>
      </c>
      <c r="C96">
        <f t="shared" si="23"/>
        <v>1.1646412213740449</v>
      </c>
      <c r="I96">
        <v>7.0357751277683098</v>
      </c>
    </row>
    <row r="97" spans="1:13" x14ac:dyDescent="0.3">
      <c r="A97">
        <v>0.10298800436205</v>
      </c>
      <c r="B97">
        <v>18.2</v>
      </c>
      <c r="C97">
        <f t="shared" si="23"/>
        <v>1.8743816793893098</v>
      </c>
      <c r="I97">
        <v>9.2844974446337307</v>
      </c>
    </row>
    <row r="98" spans="1:13" x14ac:dyDescent="0.3">
      <c r="A98">
        <v>1.00763358778625E-2</v>
      </c>
      <c r="B98">
        <v>27</v>
      </c>
      <c r="C98">
        <f t="shared" si="23"/>
        <v>0.27206106870228752</v>
      </c>
      <c r="I98">
        <v>3.4241908006814299</v>
      </c>
    </row>
    <row r="99" spans="1:13" x14ac:dyDescent="0.3">
      <c r="A99">
        <v>2.6434023991275899E-2</v>
      </c>
      <c r="B99">
        <v>27</v>
      </c>
      <c r="C99">
        <f t="shared" si="23"/>
        <v>0.71371864776444927</v>
      </c>
      <c r="I99">
        <v>4.1396933560477001</v>
      </c>
    </row>
    <row r="100" spans="1:13" x14ac:dyDescent="0.3">
      <c r="A100">
        <v>3.72955288985823E-2</v>
      </c>
      <c r="B100">
        <v>27</v>
      </c>
      <c r="C100">
        <f t="shared" si="23"/>
        <v>1.0069792802617221</v>
      </c>
      <c r="I100">
        <v>5.4003407155025496</v>
      </c>
    </row>
    <row r="101" spans="1:13" x14ac:dyDescent="0.3">
      <c r="A101">
        <v>4.9989094874591002E-2</v>
      </c>
      <c r="B101">
        <v>27</v>
      </c>
      <c r="C101">
        <f t="shared" si="23"/>
        <v>1.349705561613957</v>
      </c>
      <c r="I101">
        <v>6.6098807495741001</v>
      </c>
    </row>
    <row r="102" spans="1:13" x14ac:dyDescent="0.3">
      <c r="A102">
        <v>6.1504907306434001E-2</v>
      </c>
      <c r="B102">
        <v>27</v>
      </c>
      <c r="C102">
        <f t="shared" si="23"/>
        <v>1.6606324972737181</v>
      </c>
      <c r="I102">
        <v>8.0919931856899492</v>
      </c>
    </row>
    <row r="103" spans="1:13" x14ac:dyDescent="0.3">
      <c r="A103">
        <v>7.3805888767720804E-2</v>
      </c>
      <c r="B103">
        <v>27</v>
      </c>
      <c r="C103">
        <f t="shared" si="23"/>
        <v>1.9927589967284618</v>
      </c>
      <c r="I103">
        <v>9.0119250425894304</v>
      </c>
    </row>
    <row r="107" spans="1:13" x14ac:dyDescent="0.3">
      <c r="A107" t="s">
        <v>127</v>
      </c>
      <c r="L107" t="s">
        <v>128</v>
      </c>
    </row>
    <row r="108" spans="1:13" x14ac:dyDescent="0.3">
      <c r="A108" t="s">
        <v>70</v>
      </c>
      <c r="L108" t="s">
        <v>70</v>
      </c>
    </row>
    <row r="109" spans="1:13" ht="15" thickBot="1" x14ac:dyDescent="0.35"/>
    <row r="110" spans="1:13" x14ac:dyDescent="0.3">
      <c r="A110" s="13" t="s">
        <v>71</v>
      </c>
      <c r="B110" s="13"/>
      <c r="L110" s="13" t="s">
        <v>71</v>
      </c>
      <c r="M110" s="13"/>
    </row>
    <row r="111" spans="1:13" x14ac:dyDescent="0.3">
      <c r="A111" s="10" t="s">
        <v>72</v>
      </c>
      <c r="B111" s="10">
        <v>0.83666298706834019</v>
      </c>
      <c r="L111" s="10" t="s">
        <v>72</v>
      </c>
      <c r="M111" s="10">
        <v>0.98648587528744103</v>
      </c>
    </row>
    <row r="112" spans="1:13" x14ac:dyDescent="0.3">
      <c r="A112" s="10" t="s">
        <v>73</v>
      </c>
      <c r="B112" s="10">
        <v>0.70000495393011752</v>
      </c>
      <c r="L112" s="10" t="s">
        <v>73</v>
      </c>
      <c r="M112" s="10">
        <v>0.97315438214162875</v>
      </c>
    </row>
    <row r="113" spans="1:20" x14ac:dyDescent="0.3">
      <c r="A113" s="10" t="s">
        <v>74</v>
      </c>
      <c r="B113" s="10">
        <v>0.67857673635369742</v>
      </c>
      <c r="L113" s="10" t="s">
        <v>74</v>
      </c>
      <c r="M113" s="10">
        <v>0.96902428708649468</v>
      </c>
    </row>
    <row r="114" spans="1:20" x14ac:dyDescent="0.3">
      <c r="A114" s="10" t="s">
        <v>69</v>
      </c>
      <c r="B114" s="10">
        <v>1.2563801046198568</v>
      </c>
      <c r="L114" s="10" t="s">
        <v>69</v>
      </c>
      <c r="M114" s="10">
        <v>0.39002554515216747</v>
      </c>
    </row>
    <row r="115" spans="1:20" ht="15" thickBot="1" x14ac:dyDescent="0.35">
      <c r="A115" s="11" t="s">
        <v>75</v>
      </c>
      <c r="B115" s="11">
        <v>16</v>
      </c>
      <c r="L115" s="11" t="s">
        <v>75</v>
      </c>
      <c r="M115" s="11">
        <v>16</v>
      </c>
    </row>
    <row r="117" spans="1:20" ht="15" thickBot="1" x14ac:dyDescent="0.35">
      <c r="A117" t="s">
        <v>76</v>
      </c>
      <c r="L117" t="s">
        <v>76</v>
      </c>
    </row>
    <row r="118" spans="1:20" x14ac:dyDescent="0.3">
      <c r="A118" s="12"/>
      <c r="B118" s="12" t="s">
        <v>81</v>
      </c>
      <c r="C118" s="12" t="s">
        <v>82</v>
      </c>
      <c r="D118" s="12" t="s">
        <v>83</v>
      </c>
      <c r="E118" s="12" t="s">
        <v>84</v>
      </c>
      <c r="F118" s="12" t="s">
        <v>85</v>
      </c>
      <c r="L118" s="12"/>
      <c r="M118" s="12" t="s">
        <v>81</v>
      </c>
      <c r="N118" s="12" t="s">
        <v>82</v>
      </c>
      <c r="O118" s="12" t="s">
        <v>83</v>
      </c>
      <c r="P118" s="12" t="s">
        <v>84</v>
      </c>
      <c r="Q118" s="12" t="s">
        <v>85</v>
      </c>
    </row>
    <row r="119" spans="1:20" x14ac:dyDescent="0.3">
      <c r="A119" s="10" t="s">
        <v>77</v>
      </c>
      <c r="B119" s="10">
        <v>1</v>
      </c>
      <c r="C119" s="10">
        <v>51.565254687775081</v>
      </c>
      <c r="D119" s="10">
        <v>51.565254687775081</v>
      </c>
      <c r="E119" s="10">
        <v>32.667437290743678</v>
      </c>
      <c r="F119" s="10">
        <v>5.3377285666511273E-5</v>
      </c>
      <c r="L119" s="10" t="s">
        <v>77</v>
      </c>
      <c r="M119" s="10">
        <v>2</v>
      </c>
      <c r="N119" s="10">
        <v>71.686569193433328</v>
      </c>
      <c r="O119" s="10">
        <v>35.843284596716664</v>
      </c>
      <c r="P119" s="10">
        <v>235.62517790768899</v>
      </c>
      <c r="Q119" s="10">
        <v>6.1330587475577702E-11</v>
      </c>
    </row>
    <row r="120" spans="1:20" x14ac:dyDescent="0.3">
      <c r="A120" s="10" t="s">
        <v>78</v>
      </c>
      <c r="B120" s="10">
        <v>14</v>
      </c>
      <c r="C120" s="10">
        <v>22.098873541984432</v>
      </c>
      <c r="D120" s="10">
        <v>1.5784909672846024</v>
      </c>
      <c r="E120" s="10"/>
      <c r="F120" s="10"/>
      <c r="L120" s="10" t="s">
        <v>78</v>
      </c>
      <c r="M120" s="10">
        <v>13</v>
      </c>
      <c r="N120" s="10">
        <v>1.9775590363261906</v>
      </c>
      <c r="O120" s="10">
        <v>0.15211992587124543</v>
      </c>
      <c r="P120" s="10"/>
      <c r="Q120" s="10"/>
    </row>
    <row r="121" spans="1:20" ht="15" thickBot="1" x14ac:dyDescent="0.35">
      <c r="A121" s="11" t="s">
        <v>79</v>
      </c>
      <c r="B121" s="11">
        <v>15</v>
      </c>
      <c r="C121" s="11">
        <v>73.664128229759513</v>
      </c>
      <c r="D121" s="11"/>
      <c r="E121" s="11"/>
      <c r="F121" s="11"/>
      <c r="L121" s="11" t="s">
        <v>79</v>
      </c>
      <c r="M121" s="11">
        <v>15</v>
      </c>
      <c r="N121" s="11">
        <v>73.664128229759513</v>
      </c>
      <c r="O121" s="11"/>
      <c r="P121" s="11"/>
      <c r="Q121" s="11"/>
    </row>
    <row r="122" spans="1:20" ht="15" thickBot="1" x14ac:dyDescent="0.35"/>
    <row r="123" spans="1:20" x14ac:dyDescent="0.3">
      <c r="A123" s="12"/>
      <c r="B123" s="12" t="s">
        <v>86</v>
      </c>
      <c r="C123" s="12" t="s">
        <v>69</v>
      </c>
      <c r="D123" s="12" t="s">
        <v>87</v>
      </c>
      <c r="E123" s="12" t="s">
        <v>88</v>
      </c>
      <c r="F123" s="12" t="s">
        <v>89</v>
      </c>
      <c r="G123" s="12" t="s">
        <v>90</v>
      </c>
      <c r="H123" s="12" t="s">
        <v>91</v>
      </c>
      <c r="I123" s="12" t="s">
        <v>92</v>
      </c>
      <c r="L123" s="12"/>
      <c r="M123" s="12" t="s">
        <v>86</v>
      </c>
      <c r="N123" s="12" t="s">
        <v>69</v>
      </c>
      <c r="O123" s="12" t="s">
        <v>87</v>
      </c>
      <c r="P123" s="12" t="s">
        <v>88</v>
      </c>
      <c r="Q123" s="12" t="s">
        <v>89</v>
      </c>
      <c r="R123" s="12" t="s">
        <v>90</v>
      </c>
      <c r="S123" s="12" t="s">
        <v>91</v>
      </c>
      <c r="T123" s="12" t="s">
        <v>92</v>
      </c>
    </row>
    <row r="124" spans="1:20" x14ac:dyDescent="0.3">
      <c r="A124" s="10" t="s">
        <v>80</v>
      </c>
      <c r="B124" s="10">
        <v>1.8577970524293765</v>
      </c>
      <c r="C124" s="10">
        <v>0.71118389018477501</v>
      </c>
      <c r="D124" s="10">
        <v>2.6122597517594164</v>
      </c>
      <c r="E124" s="10">
        <v>2.0482529201598428E-2</v>
      </c>
      <c r="F124" s="10">
        <v>0.33245931209947344</v>
      </c>
      <c r="G124" s="10">
        <v>3.3831347927592796</v>
      </c>
      <c r="H124" s="10">
        <v>0.33245931209947344</v>
      </c>
      <c r="I124" s="10">
        <v>3.3831347927592796</v>
      </c>
      <c r="L124" s="10" t="s">
        <v>80</v>
      </c>
      <c r="M124" s="10">
        <v>-1.4101411005991564</v>
      </c>
      <c r="N124" s="10">
        <v>0.35983384508725641</v>
      </c>
      <c r="O124" s="10">
        <v>-3.9188673323856187</v>
      </c>
      <c r="P124" s="10">
        <v>1.7621702270801574E-3</v>
      </c>
      <c r="Q124" s="10">
        <v>-2.1875148610601531</v>
      </c>
      <c r="R124" s="10">
        <v>-0.63276734013815961</v>
      </c>
      <c r="S124" s="10">
        <v>-2.1875148610601531</v>
      </c>
      <c r="T124" s="10">
        <v>-0.63276734013815961</v>
      </c>
    </row>
    <row r="125" spans="1:20" ht="15" thickBot="1" x14ac:dyDescent="0.35">
      <c r="A125" s="11" t="s">
        <v>49</v>
      </c>
      <c r="B125" s="11">
        <v>69.562061352368318</v>
      </c>
      <c r="C125" s="11">
        <v>12.170681856516566</v>
      </c>
      <c r="D125" s="11">
        <v>5.7155434816597888</v>
      </c>
      <c r="E125" s="11">
        <v>5.3377285666511077E-5</v>
      </c>
      <c r="F125" s="11">
        <v>43.458544923628835</v>
      </c>
      <c r="G125" s="11">
        <v>95.6655777811078</v>
      </c>
      <c r="H125" s="11">
        <v>43.458544923628835</v>
      </c>
      <c r="I125" s="11">
        <v>95.6655777811078</v>
      </c>
      <c r="L125" s="10" t="s">
        <v>49</v>
      </c>
      <c r="M125" s="10">
        <v>80.129699810782668</v>
      </c>
      <c r="N125" s="10">
        <v>3.8883419322186952</v>
      </c>
      <c r="O125" s="10">
        <v>20.607678338890455</v>
      </c>
      <c r="P125" s="10">
        <v>2.602712589753721E-11</v>
      </c>
      <c r="Q125" s="10">
        <v>71.729447774807426</v>
      </c>
      <c r="R125" s="10">
        <v>88.529951846757911</v>
      </c>
      <c r="S125" s="10">
        <v>71.729447774807426</v>
      </c>
      <c r="T125" s="10">
        <v>88.529951846757911</v>
      </c>
    </row>
    <row r="126" spans="1:20" ht="15" thickBot="1" x14ac:dyDescent="0.35">
      <c r="L126" s="11" t="s">
        <v>138</v>
      </c>
      <c r="M126" s="11">
        <v>0.14973324212771152</v>
      </c>
      <c r="N126" s="11">
        <v>1.3019164253384431E-2</v>
      </c>
      <c r="O126" s="11">
        <v>11.500987253370525</v>
      </c>
      <c r="P126" s="11">
        <v>3.4722480617504951E-8</v>
      </c>
      <c r="Q126" s="11">
        <v>0.12160704774135898</v>
      </c>
      <c r="R126" s="11">
        <v>0.17785943651406405</v>
      </c>
      <c r="S126" s="11">
        <v>0.12160704774135898</v>
      </c>
      <c r="T126" s="11">
        <v>0.17785943651406405</v>
      </c>
    </row>
    <row r="129" spans="1:13" x14ac:dyDescent="0.3">
      <c r="A129" t="s">
        <v>123</v>
      </c>
      <c r="I129">
        <f>((C120-N120)/(M119-B119))/(N120/(B121+1-(M119+1)))</f>
        <v>132.27270780219126</v>
      </c>
      <c r="K129" t="s">
        <v>292</v>
      </c>
    </row>
    <row r="130" spans="1:13" x14ac:dyDescent="0.3">
      <c r="A130" t="s">
        <v>124</v>
      </c>
      <c r="I130">
        <f>_xlfn.F.DIST.RT(I129,B120-M120,M120)</f>
        <v>3.4722480617505077E-8</v>
      </c>
    </row>
    <row r="131" spans="1:13" x14ac:dyDescent="0.3">
      <c r="A131" t="s">
        <v>310</v>
      </c>
    </row>
    <row r="132" spans="1:13" x14ac:dyDescent="0.3">
      <c r="A132" t="s">
        <v>315</v>
      </c>
    </row>
    <row r="135" spans="1:13" x14ac:dyDescent="0.3">
      <c r="A135" t="s">
        <v>127</v>
      </c>
      <c r="L135" t="s">
        <v>146</v>
      </c>
    </row>
    <row r="136" spans="1:13" x14ac:dyDescent="0.3">
      <c r="A136" t="s">
        <v>70</v>
      </c>
      <c r="L136" t="s">
        <v>70</v>
      </c>
    </row>
    <row r="137" spans="1:13" ht="15" thickBot="1" x14ac:dyDescent="0.35"/>
    <row r="138" spans="1:13" x14ac:dyDescent="0.3">
      <c r="A138" s="13" t="s">
        <v>71</v>
      </c>
      <c r="B138" s="13"/>
      <c r="L138" s="13" t="s">
        <v>71</v>
      </c>
      <c r="M138" s="13"/>
    </row>
    <row r="139" spans="1:13" x14ac:dyDescent="0.3">
      <c r="A139" s="10" t="s">
        <v>72</v>
      </c>
      <c r="B139" s="10">
        <v>0.83666298706834019</v>
      </c>
      <c r="L139" s="10" t="s">
        <v>72</v>
      </c>
      <c r="M139" s="10">
        <v>0.99139740855224923</v>
      </c>
    </row>
    <row r="140" spans="1:13" x14ac:dyDescent="0.3">
      <c r="A140" s="10" t="s">
        <v>73</v>
      </c>
      <c r="B140" s="10">
        <v>0.70000495393011752</v>
      </c>
      <c r="L140" s="10" t="s">
        <v>73</v>
      </c>
      <c r="M140" s="10">
        <v>0.98286882168411527</v>
      </c>
    </row>
    <row r="141" spans="1:13" x14ac:dyDescent="0.3">
      <c r="A141" s="10" t="s">
        <v>74</v>
      </c>
      <c r="B141" s="10">
        <v>0.67857673635369742</v>
      </c>
      <c r="L141" s="10" t="s">
        <v>74</v>
      </c>
      <c r="M141" s="10">
        <v>0.9785860271051442</v>
      </c>
    </row>
    <row r="142" spans="1:13" x14ac:dyDescent="0.3">
      <c r="A142" s="10" t="s">
        <v>69</v>
      </c>
      <c r="B142" s="10">
        <v>1.2563801046198568</v>
      </c>
      <c r="L142" s="10" t="s">
        <v>69</v>
      </c>
      <c r="M142" s="10">
        <v>0.32428810701136968</v>
      </c>
    </row>
    <row r="143" spans="1:13" ht="15" thickBot="1" x14ac:dyDescent="0.35">
      <c r="A143" s="11" t="s">
        <v>75</v>
      </c>
      <c r="B143" s="11">
        <v>16</v>
      </c>
      <c r="L143" s="11" t="s">
        <v>75</v>
      </c>
      <c r="M143" s="11">
        <v>16</v>
      </c>
    </row>
    <row r="145" spans="1:20" ht="15" thickBot="1" x14ac:dyDescent="0.35">
      <c r="A145" t="s">
        <v>76</v>
      </c>
      <c r="L145" t="s">
        <v>76</v>
      </c>
    </row>
    <row r="146" spans="1:20" x14ac:dyDescent="0.3">
      <c r="A146" s="12"/>
      <c r="B146" s="12" t="s">
        <v>81</v>
      </c>
      <c r="C146" s="12" t="s">
        <v>82</v>
      </c>
      <c r="D146" s="12" t="s">
        <v>83</v>
      </c>
      <c r="E146" s="12" t="s">
        <v>84</v>
      </c>
      <c r="F146" s="12" t="s">
        <v>85</v>
      </c>
      <c r="L146" s="12"/>
      <c r="M146" s="12" t="s">
        <v>81</v>
      </c>
      <c r="N146" s="12" t="s">
        <v>82</v>
      </c>
      <c r="O146" s="12" t="s">
        <v>83</v>
      </c>
      <c r="P146" s="12" t="s">
        <v>84</v>
      </c>
      <c r="Q146" s="12" t="s">
        <v>85</v>
      </c>
    </row>
    <row r="147" spans="1:20" x14ac:dyDescent="0.3">
      <c r="A147" s="10" t="s">
        <v>77</v>
      </c>
      <c r="B147" s="10">
        <v>1</v>
      </c>
      <c r="C147" s="10">
        <v>51.565254687775081</v>
      </c>
      <c r="D147" s="10">
        <v>51.565254687775081</v>
      </c>
      <c r="E147" s="10">
        <v>32.667437290743678</v>
      </c>
      <c r="F147" s="10">
        <v>5.3377285666511273E-5</v>
      </c>
      <c r="L147" s="10" t="s">
        <v>77</v>
      </c>
      <c r="M147" s="10">
        <v>3</v>
      </c>
      <c r="N147" s="10">
        <v>72.402174913571301</v>
      </c>
      <c r="O147" s="10">
        <v>24.134058304523766</v>
      </c>
      <c r="P147" s="10">
        <v>229.49240351383358</v>
      </c>
      <c r="Q147" s="10">
        <v>7.3581110035246826E-11</v>
      </c>
    </row>
    <row r="148" spans="1:20" x14ac:dyDescent="0.3">
      <c r="A148" s="10" t="s">
        <v>78</v>
      </c>
      <c r="B148" s="10">
        <v>14</v>
      </c>
      <c r="C148" s="10">
        <v>22.098873541984432</v>
      </c>
      <c r="D148" s="10">
        <v>1.5784909672846024</v>
      </c>
      <c r="E148" s="10"/>
      <c r="F148" s="10"/>
      <c r="L148" s="10" t="s">
        <v>78</v>
      </c>
      <c r="M148" s="10">
        <v>12</v>
      </c>
      <c r="N148" s="10">
        <v>1.2619533161882104</v>
      </c>
      <c r="O148" s="10">
        <v>0.10516277634901754</v>
      </c>
      <c r="P148" s="10"/>
      <c r="Q148" s="10"/>
    </row>
    <row r="149" spans="1:20" ht="15" thickBot="1" x14ac:dyDescent="0.35">
      <c r="A149" s="11" t="s">
        <v>79</v>
      </c>
      <c r="B149" s="11">
        <v>15</v>
      </c>
      <c r="C149" s="11">
        <v>73.664128229759513</v>
      </c>
      <c r="D149" s="11"/>
      <c r="E149" s="11"/>
      <c r="F149" s="11"/>
      <c r="L149" s="11" t="s">
        <v>79</v>
      </c>
      <c r="M149" s="11">
        <v>15</v>
      </c>
      <c r="N149" s="11">
        <v>73.664128229759513</v>
      </c>
      <c r="O149" s="11"/>
      <c r="P149" s="11"/>
      <c r="Q149" s="11"/>
    </row>
    <row r="150" spans="1:20" ht="15" thickBot="1" x14ac:dyDescent="0.35"/>
    <row r="151" spans="1:20" x14ac:dyDescent="0.3">
      <c r="A151" s="12"/>
      <c r="B151" s="12" t="s">
        <v>86</v>
      </c>
      <c r="C151" s="12" t="s">
        <v>69</v>
      </c>
      <c r="D151" s="12" t="s">
        <v>87</v>
      </c>
      <c r="E151" s="12" t="s">
        <v>88</v>
      </c>
      <c r="F151" s="12" t="s">
        <v>89</v>
      </c>
      <c r="G151" s="12" t="s">
        <v>90</v>
      </c>
      <c r="H151" s="12" t="s">
        <v>91</v>
      </c>
      <c r="I151" s="12" t="s">
        <v>92</v>
      </c>
      <c r="L151" s="12"/>
      <c r="M151" s="12" t="s">
        <v>86</v>
      </c>
      <c r="N151" s="12" t="s">
        <v>69</v>
      </c>
      <c r="O151" s="12" t="s">
        <v>87</v>
      </c>
      <c r="P151" s="12" t="s">
        <v>88</v>
      </c>
      <c r="Q151" s="12" t="s">
        <v>89</v>
      </c>
      <c r="R151" s="12" t="s">
        <v>90</v>
      </c>
      <c r="S151" s="12" t="s">
        <v>91</v>
      </c>
      <c r="T151" s="12" t="s">
        <v>92</v>
      </c>
    </row>
    <row r="152" spans="1:20" x14ac:dyDescent="0.3">
      <c r="A152" s="10" t="s">
        <v>80</v>
      </c>
      <c r="B152" s="10">
        <v>1.8577970524293765</v>
      </c>
      <c r="C152" s="10">
        <v>0.71118389018477501</v>
      </c>
      <c r="D152" s="10">
        <v>2.6122597517594164</v>
      </c>
      <c r="E152" s="10">
        <v>2.0482529201598428E-2</v>
      </c>
      <c r="F152" s="10">
        <v>0.33245931209947344</v>
      </c>
      <c r="G152" s="10">
        <v>3.3831347927592796</v>
      </c>
      <c r="H152" s="10">
        <v>0.33245931209947344</v>
      </c>
      <c r="I152" s="10">
        <v>3.3831347927592796</v>
      </c>
      <c r="L152" s="10" t="s">
        <v>80</v>
      </c>
      <c r="M152" s="10">
        <v>-0.32418379641849726</v>
      </c>
      <c r="N152" s="10">
        <v>0.51265757405740342</v>
      </c>
      <c r="O152" s="10">
        <v>-0.63235932291560693</v>
      </c>
      <c r="P152" s="10">
        <v>0.53901438758280817</v>
      </c>
      <c r="Q152" s="10">
        <v>-1.4411686960008452</v>
      </c>
      <c r="R152" s="10">
        <v>0.79280110316385066</v>
      </c>
      <c r="S152" s="10">
        <v>-1.4411686960008452</v>
      </c>
      <c r="T152" s="10">
        <v>0.79280110316385066</v>
      </c>
    </row>
    <row r="153" spans="1:20" ht="15" thickBot="1" x14ac:dyDescent="0.35">
      <c r="A153" s="11" t="s">
        <v>49</v>
      </c>
      <c r="B153" s="11">
        <v>69.562061352368318</v>
      </c>
      <c r="C153" s="11">
        <v>12.170681856516566</v>
      </c>
      <c r="D153" s="11">
        <v>5.7155434816597888</v>
      </c>
      <c r="E153" s="11">
        <v>5.3377285666511077E-5</v>
      </c>
      <c r="F153" s="11">
        <v>43.458544923628835</v>
      </c>
      <c r="G153" s="11">
        <v>95.6655777811078</v>
      </c>
      <c r="H153" s="11">
        <v>43.458544923628835</v>
      </c>
      <c r="I153" s="11">
        <v>95.6655777811078</v>
      </c>
      <c r="L153" s="10" t="s">
        <v>49</v>
      </c>
      <c r="M153" s="10">
        <v>59.407129867414739</v>
      </c>
      <c r="N153" s="10">
        <v>8.5766444747442847</v>
      </c>
      <c r="O153" s="10">
        <v>6.9266168187746855</v>
      </c>
      <c r="P153" s="10">
        <v>1.5901544963606711E-5</v>
      </c>
      <c r="Q153" s="10">
        <v>40.720226850347345</v>
      </c>
      <c r="R153" s="10">
        <v>78.094032884482132</v>
      </c>
      <c r="S153" s="10">
        <v>40.720226850347345</v>
      </c>
      <c r="T153" s="10">
        <v>78.094032884482132</v>
      </c>
    </row>
    <row r="154" spans="1:20" x14ac:dyDescent="0.3">
      <c r="L154" s="10" t="s">
        <v>138</v>
      </c>
      <c r="M154" s="10">
        <v>9.0815304931695345E-2</v>
      </c>
      <c r="N154" s="10">
        <v>2.504615354413171E-2</v>
      </c>
      <c r="O154" s="10">
        <v>3.6259182381708781</v>
      </c>
      <c r="P154" s="10">
        <v>3.4766359189588578E-3</v>
      </c>
      <c r="Q154" s="10">
        <v>3.6244424255925854E-2</v>
      </c>
      <c r="R154" s="10">
        <v>0.14538618560746483</v>
      </c>
      <c r="S154" s="10">
        <v>3.6244424255925854E-2</v>
      </c>
      <c r="T154" s="10">
        <v>0.14538618560746483</v>
      </c>
    </row>
    <row r="155" spans="1:20" ht="15" thickBot="1" x14ac:dyDescent="0.35">
      <c r="L155" s="11" t="s">
        <v>154</v>
      </c>
      <c r="M155" s="11">
        <v>1.1828092097268172</v>
      </c>
      <c r="N155" s="11">
        <v>0.45342850346016422</v>
      </c>
      <c r="O155" s="11">
        <v>2.608590330560753</v>
      </c>
      <c r="P155" s="11">
        <v>2.2860967918915329E-2</v>
      </c>
      <c r="Q155" s="11">
        <v>0.19487336905100017</v>
      </c>
      <c r="R155" s="11">
        <v>2.1707450504026342</v>
      </c>
      <c r="S155" s="11">
        <v>0.19487336905100017</v>
      </c>
      <c r="T155" s="11">
        <v>2.1707450504026342</v>
      </c>
    </row>
    <row r="158" spans="1:20" x14ac:dyDescent="0.3">
      <c r="A158" t="s">
        <v>123</v>
      </c>
      <c r="I158">
        <f>((C148-N148)/(M147-B147))/(N148/(B149+1-(M147+1)))</f>
        <v>99.069846523650114</v>
      </c>
      <c r="K158" t="s">
        <v>292</v>
      </c>
    </row>
    <row r="159" spans="1:20" x14ac:dyDescent="0.3">
      <c r="A159" t="s">
        <v>124</v>
      </c>
      <c r="I159">
        <f>_xlfn.F.DIST.RT(I158,B148-M148,M148)</f>
        <v>3.4676792124877194E-8</v>
      </c>
    </row>
    <row r="160" spans="1:20" x14ac:dyDescent="0.3">
      <c r="A160" t="s">
        <v>310</v>
      </c>
    </row>
    <row r="161" spans="1:13" x14ac:dyDescent="0.3">
      <c r="A161" t="s">
        <v>313</v>
      </c>
    </row>
    <row r="167" spans="1:13" x14ac:dyDescent="0.3">
      <c r="A167" t="s">
        <v>148</v>
      </c>
      <c r="L167" t="s">
        <v>146</v>
      </c>
    </row>
    <row r="168" spans="1:13" x14ac:dyDescent="0.3">
      <c r="A168" t="s">
        <v>70</v>
      </c>
      <c r="L168" t="s">
        <v>70</v>
      </c>
    </row>
    <row r="169" spans="1:13" ht="15" thickBot="1" x14ac:dyDescent="0.35"/>
    <row r="170" spans="1:13" x14ac:dyDescent="0.3">
      <c r="A170" s="13" t="s">
        <v>71</v>
      </c>
      <c r="B170" s="13"/>
      <c r="L170" s="13" t="s">
        <v>71</v>
      </c>
      <c r="M170" s="13"/>
    </row>
    <row r="171" spans="1:13" x14ac:dyDescent="0.3">
      <c r="A171" s="10" t="s">
        <v>72</v>
      </c>
      <c r="B171" s="10">
        <v>0.98648587528744103</v>
      </c>
      <c r="L171" s="10" t="s">
        <v>72</v>
      </c>
      <c r="M171" s="10">
        <v>0.99139740855224923</v>
      </c>
    </row>
    <row r="172" spans="1:13" x14ac:dyDescent="0.3">
      <c r="A172" s="10" t="s">
        <v>73</v>
      </c>
      <c r="B172" s="10">
        <v>0.97315438214162875</v>
      </c>
      <c r="L172" s="10" t="s">
        <v>73</v>
      </c>
      <c r="M172" s="10">
        <v>0.98286882168411527</v>
      </c>
    </row>
    <row r="173" spans="1:13" x14ac:dyDescent="0.3">
      <c r="A173" s="10" t="s">
        <v>74</v>
      </c>
      <c r="B173" s="10">
        <v>0.96902428708649468</v>
      </c>
      <c r="L173" s="10" t="s">
        <v>74</v>
      </c>
      <c r="M173" s="10">
        <v>0.9785860271051442</v>
      </c>
    </row>
    <row r="174" spans="1:13" x14ac:dyDescent="0.3">
      <c r="A174" s="10" t="s">
        <v>69</v>
      </c>
      <c r="B174" s="10">
        <v>0.39002554515216747</v>
      </c>
      <c r="L174" s="10" t="s">
        <v>69</v>
      </c>
      <c r="M174" s="10">
        <v>0.32428810701136968</v>
      </c>
    </row>
    <row r="175" spans="1:13" ht="15" thickBot="1" x14ac:dyDescent="0.35">
      <c r="A175" s="11" t="s">
        <v>75</v>
      </c>
      <c r="B175" s="11">
        <v>16</v>
      </c>
      <c r="L175" s="11" t="s">
        <v>75</v>
      </c>
      <c r="M175" s="11">
        <v>16</v>
      </c>
    </row>
    <row r="177" spans="1:20" ht="15" thickBot="1" x14ac:dyDescent="0.35">
      <c r="A177" t="s">
        <v>76</v>
      </c>
      <c r="L177" t="s">
        <v>76</v>
      </c>
    </row>
    <row r="178" spans="1:20" x14ac:dyDescent="0.3">
      <c r="A178" s="12"/>
      <c r="B178" s="12" t="s">
        <v>81</v>
      </c>
      <c r="C178" s="12" t="s">
        <v>82</v>
      </c>
      <c r="D178" s="12" t="s">
        <v>83</v>
      </c>
      <c r="E178" s="12" t="s">
        <v>84</v>
      </c>
      <c r="F178" s="12" t="s">
        <v>85</v>
      </c>
      <c r="L178" s="12"/>
      <c r="M178" s="12" t="s">
        <v>81</v>
      </c>
      <c r="N178" s="12" t="s">
        <v>82</v>
      </c>
      <c r="O178" s="12" t="s">
        <v>83</v>
      </c>
      <c r="P178" s="12" t="s">
        <v>84</v>
      </c>
      <c r="Q178" s="12" t="s">
        <v>85</v>
      </c>
    </row>
    <row r="179" spans="1:20" x14ac:dyDescent="0.3">
      <c r="A179" s="10" t="s">
        <v>77</v>
      </c>
      <c r="B179" s="10">
        <v>2</v>
      </c>
      <c r="C179" s="10">
        <v>71.686569193433328</v>
      </c>
      <c r="D179" s="10">
        <v>35.843284596716664</v>
      </c>
      <c r="E179" s="10">
        <v>235.62517790768899</v>
      </c>
      <c r="F179" s="10">
        <v>6.1330587475577702E-11</v>
      </c>
      <c r="L179" s="10" t="s">
        <v>77</v>
      </c>
      <c r="M179" s="10">
        <v>3</v>
      </c>
      <c r="N179" s="10">
        <v>72.402174913571301</v>
      </c>
      <c r="O179" s="10">
        <v>24.134058304523766</v>
      </c>
      <c r="P179" s="10">
        <v>229.49240351383358</v>
      </c>
      <c r="Q179" s="10">
        <v>7.3581110035246826E-11</v>
      </c>
    </row>
    <row r="180" spans="1:20" x14ac:dyDescent="0.3">
      <c r="A180" s="10" t="s">
        <v>78</v>
      </c>
      <c r="B180" s="10">
        <v>13</v>
      </c>
      <c r="C180" s="10">
        <v>1.9775590363261906</v>
      </c>
      <c r="D180" s="10">
        <v>0.15211992587124543</v>
      </c>
      <c r="E180" s="10"/>
      <c r="F180" s="10"/>
      <c r="L180" s="10" t="s">
        <v>78</v>
      </c>
      <c r="M180" s="10">
        <v>12</v>
      </c>
      <c r="N180" s="10">
        <v>1.2619533161882104</v>
      </c>
      <c r="O180" s="10">
        <v>0.10516277634901754</v>
      </c>
      <c r="P180" s="10"/>
      <c r="Q180" s="10"/>
    </row>
    <row r="181" spans="1:20" ht="15" thickBot="1" x14ac:dyDescent="0.35">
      <c r="A181" s="11" t="s">
        <v>79</v>
      </c>
      <c r="B181" s="11">
        <v>15</v>
      </c>
      <c r="C181" s="11">
        <v>73.664128229759513</v>
      </c>
      <c r="D181" s="11"/>
      <c r="E181" s="11"/>
      <c r="F181" s="11"/>
      <c r="L181" s="11" t="s">
        <v>79</v>
      </c>
      <c r="M181" s="11">
        <v>15</v>
      </c>
      <c r="N181" s="11">
        <v>73.664128229759513</v>
      </c>
      <c r="O181" s="11"/>
      <c r="P181" s="11"/>
      <c r="Q181" s="11"/>
    </row>
    <row r="182" spans="1:20" ht="15" thickBot="1" x14ac:dyDescent="0.35"/>
    <row r="183" spans="1:20" x14ac:dyDescent="0.3">
      <c r="A183" s="12"/>
      <c r="B183" s="12" t="s">
        <v>86</v>
      </c>
      <c r="C183" s="12" t="s">
        <v>69</v>
      </c>
      <c r="D183" s="12" t="s">
        <v>87</v>
      </c>
      <c r="E183" s="12" t="s">
        <v>88</v>
      </c>
      <c r="F183" s="12" t="s">
        <v>89</v>
      </c>
      <c r="G183" s="12" t="s">
        <v>90</v>
      </c>
      <c r="H183" s="12" t="s">
        <v>91</v>
      </c>
      <c r="I183" s="12" t="s">
        <v>92</v>
      </c>
      <c r="L183" s="12"/>
      <c r="M183" s="12" t="s">
        <v>86</v>
      </c>
      <c r="N183" s="12" t="s">
        <v>69</v>
      </c>
      <c r="O183" s="12" t="s">
        <v>87</v>
      </c>
      <c r="P183" s="12" t="s">
        <v>88</v>
      </c>
      <c r="Q183" s="12" t="s">
        <v>89</v>
      </c>
      <c r="R183" s="12" t="s">
        <v>90</v>
      </c>
      <c r="S183" s="12" t="s">
        <v>91</v>
      </c>
      <c r="T183" s="12" t="s">
        <v>92</v>
      </c>
    </row>
    <row r="184" spans="1:20" x14ac:dyDescent="0.3">
      <c r="A184" s="10" t="s">
        <v>80</v>
      </c>
      <c r="B184" s="10">
        <v>-1.4101411005991564</v>
      </c>
      <c r="C184" s="10">
        <v>0.35983384508725641</v>
      </c>
      <c r="D184" s="10">
        <v>-3.9188673323856187</v>
      </c>
      <c r="E184" s="10">
        <v>1.7621702270801574E-3</v>
      </c>
      <c r="F184" s="10">
        <v>-2.1875148610601531</v>
      </c>
      <c r="G184" s="10">
        <v>-0.63276734013815961</v>
      </c>
      <c r="H184" s="10">
        <v>-2.1875148610601531</v>
      </c>
      <c r="I184" s="10">
        <v>-0.63276734013815961</v>
      </c>
      <c r="L184" s="10" t="s">
        <v>80</v>
      </c>
      <c r="M184" s="10">
        <v>-0.32418379641849726</v>
      </c>
      <c r="N184" s="10">
        <v>0.51265757405740342</v>
      </c>
      <c r="O184" s="10">
        <v>-0.63235932291560693</v>
      </c>
      <c r="P184" s="10">
        <v>0.53901438758280817</v>
      </c>
      <c r="Q184" s="10">
        <v>-1.4411686960008452</v>
      </c>
      <c r="R184" s="10">
        <v>0.79280110316385066</v>
      </c>
      <c r="S184" s="10">
        <v>-1.4411686960008452</v>
      </c>
      <c r="T184" s="10">
        <v>0.79280110316385066</v>
      </c>
    </row>
    <row r="185" spans="1:20" x14ac:dyDescent="0.3">
      <c r="A185" s="10" t="s">
        <v>49</v>
      </c>
      <c r="B185" s="10">
        <v>80.129699810782668</v>
      </c>
      <c r="C185" s="10">
        <v>3.8883419322186952</v>
      </c>
      <c r="D185" s="10">
        <v>20.607678338890455</v>
      </c>
      <c r="E185" s="10">
        <v>2.602712589753721E-11</v>
      </c>
      <c r="F185" s="10">
        <v>71.729447774807426</v>
      </c>
      <c r="G185" s="10">
        <v>88.529951846757911</v>
      </c>
      <c r="H185" s="10">
        <v>71.729447774807426</v>
      </c>
      <c r="I185" s="10">
        <v>88.529951846757911</v>
      </c>
      <c r="L185" s="10" t="s">
        <v>49</v>
      </c>
      <c r="M185" s="10">
        <v>59.407129867414739</v>
      </c>
      <c r="N185" s="10">
        <v>8.5766444747442847</v>
      </c>
      <c r="O185" s="10">
        <v>6.9266168187746855</v>
      </c>
      <c r="P185" s="10">
        <v>1.5901544963606711E-5</v>
      </c>
      <c r="Q185" s="10">
        <v>40.720226850347345</v>
      </c>
      <c r="R185" s="10">
        <v>78.094032884482132</v>
      </c>
      <c r="S185" s="10">
        <v>40.720226850347345</v>
      </c>
      <c r="T185" s="10">
        <v>78.094032884482132</v>
      </c>
    </row>
    <row r="186" spans="1:20" ht="15" thickBot="1" x14ac:dyDescent="0.35">
      <c r="A186" s="11" t="s">
        <v>138</v>
      </c>
      <c r="B186" s="11">
        <v>0.14973324212771152</v>
      </c>
      <c r="C186" s="11">
        <v>1.3019164253384431E-2</v>
      </c>
      <c r="D186" s="11">
        <v>11.500987253370525</v>
      </c>
      <c r="E186" s="11">
        <v>3.4722480617504951E-8</v>
      </c>
      <c r="F186" s="11">
        <v>0.12160704774135898</v>
      </c>
      <c r="G186" s="11">
        <v>0.17785943651406405</v>
      </c>
      <c r="H186" s="11">
        <v>0.12160704774135898</v>
      </c>
      <c r="I186" s="11">
        <v>0.17785943651406405</v>
      </c>
      <c r="L186" s="10" t="s">
        <v>138</v>
      </c>
      <c r="M186" s="10">
        <v>9.0815304931695345E-2</v>
      </c>
      <c r="N186" s="10">
        <v>2.504615354413171E-2</v>
      </c>
      <c r="O186" s="10">
        <v>3.6259182381708781</v>
      </c>
      <c r="P186" s="10">
        <v>3.4766359189588578E-3</v>
      </c>
      <c r="Q186" s="10">
        <v>3.6244424255925854E-2</v>
      </c>
      <c r="R186" s="10">
        <v>0.14538618560746483</v>
      </c>
      <c r="S186" s="10">
        <v>3.6244424255925854E-2</v>
      </c>
      <c r="T186" s="10">
        <v>0.14538618560746483</v>
      </c>
    </row>
    <row r="187" spans="1:20" ht="15" thickBot="1" x14ac:dyDescent="0.35">
      <c r="L187" s="11" t="s">
        <v>154</v>
      </c>
      <c r="M187" s="11">
        <v>1.1828092097268172</v>
      </c>
      <c r="N187" s="11">
        <v>0.45342850346016422</v>
      </c>
      <c r="O187" s="11">
        <v>2.608590330560753</v>
      </c>
      <c r="P187" s="11">
        <v>2.2860967918915329E-2</v>
      </c>
      <c r="Q187" s="11">
        <v>0.19487336905100017</v>
      </c>
      <c r="R187" s="11">
        <v>2.1707450504026342</v>
      </c>
      <c r="S187" s="11">
        <v>0.19487336905100017</v>
      </c>
      <c r="T187" s="11">
        <v>2.1707450504026342</v>
      </c>
    </row>
    <row r="190" spans="1:20" x14ac:dyDescent="0.3">
      <c r="A190" t="s">
        <v>123</v>
      </c>
      <c r="I190">
        <f>((C180-N180)/(M179-B179))/(N180/(B181+1-(M179+1)))</f>
        <v>6.804743512695075</v>
      </c>
      <c r="K190" t="s">
        <v>292</v>
      </c>
    </row>
    <row r="191" spans="1:20" x14ac:dyDescent="0.3">
      <c r="A191" t="s">
        <v>124</v>
      </c>
      <c r="I191">
        <f>_xlfn.F.DIST.RT(I190,B180-M180,M180)</f>
        <v>2.2860967918915162E-2</v>
      </c>
    </row>
    <row r="192" spans="1:20" x14ac:dyDescent="0.3">
      <c r="A192" t="s">
        <v>310</v>
      </c>
    </row>
    <row r="193" spans="1:17" x14ac:dyDescent="0.3">
      <c r="A193" t="s">
        <v>311</v>
      </c>
    </row>
    <row r="196" spans="1:17" x14ac:dyDescent="0.3">
      <c r="A196" t="s">
        <v>127</v>
      </c>
      <c r="L196" t="s">
        <v>149</v>
      </c>
    </row>
    <row r="197" spans="1:17" x14ac:dyDescent="0.3">
      <c r="A197" t="s">
        <v>70</v>
      </c>
      <c r="L197" t="s">
        <v>70</v>
      </c>
    </row>
    <row r="198" spans="1:17" ht="15" thickBot="1" x14ac:dyDescent="0.35"/>
    <row r="199" spans="1:17" x14ac:dyDescent="0.3">
      <c r="A199" s="13" t="s">
        <v>71</v>
      </c>
      <c r="B199" s="13"/>
      <c r="L199" s="13" t="s">
        <v>71</v>
      </c>
      <c r="M199" s="13"/>
    </row>
    <row r="200" spans="1:17" x14ac:dyDescent="0.3">
      <c r="A200" s="10" t="s">
        <v>72</v>
      </c>
      <c r="B200" s="10">
        <v>0.83666298706834019</v>
      </c>
      <c r="L200" s="10" t="s">
        <v>72</v>
      </c>
      <c r="M200" s="10">
        <v>0.98188583049700462</v>
      </c>
    </row>
    <row r="201" spans="1:17" x14ac:dyDescent="0.3">
      <c r="A201" s="10" t="s">
        <v>73</v>
      </c>
      <c r="B201" s="10">
        <v>0.70000495393011752</v>
      </c>
      <c r="L201" s="10" t="s">
        <v>73</v>
      </c>
      <c r="M201" s="10">
        <v>0.96409978413079256</v>
      </c>
    </row>
    <row r="202" spans="1:17" x14ac:dyDescent="0.3">
      <c r="A202" s="10" t="s">
        <v>74</v>
      </c>
      <c r="B202" s="10">
        <v>0.67857673635369742</v>
      </c>
      <c r="L202" s="10" t="s">
        <v>74</v>
      </c>
      <c r="M202" s="10">
        <v>0.95857667399706825</v>
      </c>
    </row>
    <row r="203" spans="1:17" x14ac:dyDescent="0.3">
      <c r="A203" s="10" t="s">
        <v>69</v>
      </c>
      <c r="B203" s="10">
        <v>1.2563801046198568</v>
      </c>
      <c r="L203" s="10" t="s">
        <v>69</v>
      </c>
      <c r="M203" s="10">
        <v>0.45102942981458877</v>
      </c>
    </row>
    <row r="204" spans="1:17" ht="15" thickBot="1" x14ac:dyDescent="0.35">
      <c r="A204" s="11" t="s">
        <v>75</v>
      </c>
      <c r="B204" s="11">
        <v>16</v>
      </c>
      <c r="L204" s="11" t="s">
        <v>75</v>
      </c>
      <c r="M204" s="11">
        <v>16</v>
      </c>
    </row>
    <row r="206" spans="1:17" ht="15" thickBot="1" x14ac:dyDescent="0.35">
      <c r="A206" t="s">
        <v>76</v>
      </c>
      <c r="L206" t="s">
        <v>76</v>
      </c>
    </row>
    <row r="207" spans="1:17" x14ac:dyDescent="0.3">
      <c r="A207" s="12"/>
      <c r="B207" s="12" t="s">
        <v>81</v>
      </c>
      <c r="C207" s="12" t="s">
        <v>82</v>
      </c>
      <c r="D207" s="12" t="s">
        <v>83</v>
      </c>
      <c r="E207" s="12" t="s">
        <v>84</v>
      </c>
      <c r="F207" s="12" t="s">
        <v>85</v>
      </c>
      <c r="L207" s="12"/>
      <c r="M207" s="12" t="s">
        <v>81</v>
      </c>
      <c r="N207" s="12" t="s">
        <v>82</v>
      </c>
      <c r="O207" s="12" t="s">
        <v>83</v>
      </c>
      <c r="P207" s="12" t="s">
        <v>84</v>
      </c>
      <c r="Q207" s="12" t="s">
        <v>85</v>
      </c>
    </row>
    <row r="208" spans="1:17" x14ac:dyDescent="0.3">
      <c r="A208" s="10" t="s">
        <v>77</v>
      </c>
      <c r="B208" s="10">
        <v>1</v>
      </c>
      <c r="C208" s="10">
        <v>51.565254687775081</v>
      </c>
      <c r="D208" s="10">
        <v>51.565254687775081</v>
      </c>
      <c r="E208" s="10">
        <v>32.667437290743678</v>
      </c>
      <c r="F208" s="10">
        <v>5.3377285666511273E-5</v>
      </c>
      <c r="L208" s="10" t="s">
        <v>77</v>
      </c>
      <c r="M208" s="10">
        <v>2</v>
      </c>
      <c r="N208" s="10">
        <v>71.019570124494166</v>
      </c>
      <c r="O208" s="10">
        <v>35.509785062247083</v>
      </c>
      <c r="P208" s="10">
        <v>174.55740711089172</v>
      </c>
      <c r="Q208" s="10">
        <v>4.0563076828621349E-10</v>
      </c>
    </row>
    <row r="209" spans="1:20" x14ac:dyDescent="0.3">
      <c r="A209" s="10" t="s">
        <v>78</v>
      </c>
      <c r="B209" s="10">
        <v>14</v>
      </c>
      <c r="C209" s="10">
        <v>22.098873541984432</v>
      </c>
      <c r="D209" s="10">
        <v>1.5784909672846024</v>
      </c>
      <c r="E209" s="10"/>
      <c r="F209" s="10"/>
      <c r="L209" s="10" t="s">
        <v>78</v>
      </c>
      <c r="M209" s="10">
        <v>13</v>
      </c>
      <c r="N209" s="10">
        <v>2.6445581052653497</v>
      </c>
      <c r="O209" s="10">
        <v>0.20342754655887305</v>
      </c>
      <c r="P209" s="10"/>
      <c r="Q209" s="10"/>
    </row>
    <row r="210" spans="1:20" ht="15" thickBot="1" x14ac:dyDescent="0.35">
      <c r="A210" s="11" t="s">
        <v>79</v>
      </c>
      <c r="B210" s="11">
        <v>15</v>
      </c>
      <c r="C210" s="11">
        <v>73.664128229759513</v>
      </c>
      <c r="D210" s="11"/>
      <c r="E210" s="11"/>
      <c r="F210" s="11"/>
      <c r="L210" s="11" t="s">
        <v>79</v>
      </c>
      <c r="M210" s="11">
        <v>15</v>
      </c>
      <c r="N210" s="11">
        <v>73.664128229759513</v>
      </c>
      <c r="O210" s="11"/>
      <c r="P210" s="11"/>
      <c r="Q210" s="11"/>
    </row>
    <row r="211" spans="1:20" ht="15" thickBot="1" x14ac:dyDescent="0.35"/>
    <row r="212" spans="1:20" x14ac:dyDescent="0.3">
      <c r="A212" s="12"/>
      <c r="B212" s="12" t="s">
        <v>86</v>
      </c>
      <c r="C212" s="12" t="s">
        <v>69</v>
      </c>
      <c r="D212" s="12" t="s">
        <v>87</v>
      </c>
      <c r="E212" s="12" t="s">
        <v>88</v>
      </c>
      <c r="F212" s="12" t="s">
        <v>89</v>
      </c>
      <c r="G212" s="12" t="s">
        <v>90</v>
      </c>
      <c r="H212" s="12" t="s">
        <v>91</v>
      </c>
      <c r="I212" s="12" t="s">
        <v>92</v>
      </c>
      <c r="L212" s="12"/>
      <c r="M212" s="12" t="s">
        <v>86</v>
      </c>
      <c r="N212" s="12" t="s">
        <v>69</v>
      </c>
      <c r="O212" s="12" t="s">
        <v>87</v>
      </c>
      <c r="P212" s="12" t="s">
        <v>88</v>
      </c>
      <c r="Q212" s="12" t="s">
        <v>89</v>
      </c>
      <c r="R212" s="12" t="s">
        <v>90</v>
      </c>
      <c r="S212" s="12" t="s">
        <v>91</v>
      </c>
      <c r="T212" s="12" t="s">
        <v>92</v>
      </c>
    </row>
    <row r="213" spans="1:20" x14ac:dyDescent="0.3">
      <c r="A213" s="10" t="s">
        <v>80</v>
      </c>
      <c r="B213" s="10">
        <v>1.8577970524293765</v>
      </c>
      <c r="C213" s="10">
        <v>0.71118389018477501</v>
      </c>
      <c r="D213" s="10">
        <v>2.6122597517594164</v>
      </c>
      <c r="E213" s="10">
        <v>2.0482529201598428E-2</v>
      </c>
      <c r="F213" s="10">
        <v>0.33245931209947344</v>
      </c>
      <c r="G213" s="10">
        <v>3.3831347927592796</v>
      </c>
      <c r="H213" s="10">
        <v>0.33245931209947344</v>
      </c>
      <c r="I213" s="10">
        <v>3.3831347927592796</v>
      </c>
      <c r="L213" s="10" t="s">
        <v>80</v>
      </c>
      <c r="M213" s="10">
        <v>1.4072599876827043</v>
      </c>
      <c r="N213" s="10">
        <v>0.25943227476993475</v>
      </c>
      <c r="O213" s="10">
        <v>5.4243828719100824</v>
      </c>
      <c r="P213" s="10">
        <v>1.1619273128349231E-4</v>
      </c>
      <c r="Q213" s="10">
        <v>0.8467906327948943</v>
      </c>
      <c r="R213" s="10">
        <v>1.9677293425705145</v>
      </c>
      <c r="S213" s="10">
        <v>0.8467906327948943</v>
      </c>
      <c r="T213" s="10">
        <v>1.9677293425705145</v>
      </c>
    </row>
    <row r="214" spans="1:20" ht="15" thickBot="1" x14ac:dyDescent="0.35">
      <c r="A214" s="11" t="s">
        <v>49</v>
      </c>
      <c r="B214" s="11">
        <v>69.562061352368318</v>
      </c>
      <c r="C214" s="11">
        <v>12.170681856516566</v>
      </c>
      <c r="D214" s="11">
        <v>5.7155434816597888</v>
      </c>
      <c r="E214" s="11">
        <v>5.3377285666511077E-5</v>
      </c>
      <c r="F214" s="11">
        <v>43.458544923628835</v>
      </c>
      <c r="G214" s="11">
        <v>95.6655777811078</v>
      </c>
      <c r="H214" s="11">
        <v>43.458544923628835</v>
      </c>
      <c r="I214" s="11">
        <v>95.6655777811078</v>
      </c>
      <c r="L214" s="10" t="s">
        <v>49</v>
      </c>
      <c r="M214" s="10">
        <v>32.234848643515711</v>
      </c>
      <c r="N214" s="10">
        <v>5.8016496071495354</v>
      </c>
      <c r="O214" s="10">
        <v>5.5561522715525262</v>
      </c>
      <c r="P214" s="10">
        <v>9.2875509251456238E-5</v>
      </c>
      <c r="Q214" s="10">
        <v>19.701146676450179</v>
      </c>
      <c r="R214" s="10">
        <v>44.768550610581244</v>
      </c>
      <c r="S214" s="10">
        <v>19.701146676450179</v>
      </c>
      <c r="T214" s="10">
        <v>44.768550610581244</v>
      </c>
    </row>
    <row r="215" spans="1:20" ht="15" thickBot="1" x14ac:dyDescent="0.35">
      <c r="L215" s="11" t="s">
        <v>154</v>
      </c>
      <c r="M215" s="11">
        <v>2.6654209625668277</v>
      </c>
      <c r="N215" s="11">
        <v>0.27256037177916698</v>
      </c>
      <c r="O215" s="11">
        <v>9.779194771301519</v>
      </c>
      <c r="P215" s="11">
        <v>2.3298581410449965E-7</v>
      </c>
      <c r="Q215" s="11">
        <v>2.0765900783812694</v>
      </c>
      <c r="R215" s="11">
        <v>3.254251846752386</v>
      </c>
      <c r="S215" s="11">
        <v>2.0765900783812694</v>
      </c>
      <c r="T215" s="11">
        <v>3.254251846752386</v>
      </c>
    </row>
    <row r="219" spans="1:20" x14ac:dyDescent="0.3">
      <c r="A219" t="s">
        <v>123</v>
      </c>
      <c r="I219">
        <f>((C209-N209)/(M208-B208))/(N209/(B210+1-(M208+1)))</f>
        <v>95.632650375050829</v>
      </c>
      <c r="K219" t="s">
        <v>292</v>
      </c>
    </row>
    <row r="220" spans="1:20" x14ac:dyDescent="0.3">
      <c r="A220" t="s">
        <v>124</v>
      </c>
      <c r="I220">
        <f>_xlfn.F.DIST.RT(I219,B209-M209,M209)</f>
        <v>2.3298581410450135E-7</v>
      </c>
    </row>
    <row r="221" spans="1:20" x14ac:dyDescent="0.3">
      <c r="A221" t="s">
        <v>310</v>
      </c>
    </row>
    <row r="222" spans="1:20" x14ac:dyDescent="0.3">
      <c r="A222" t="s">
        <v>311</v>
      </c>
    </row>
    <row r="226" spans="1:11" x14ac:dyDescent="0.3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</row>
    <row r="227" spans="1:11" x14ac:dyDescent="0.3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</row>
    <row r="228" spans="1:11" x14ac:dyDescent="0.3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</row>
    <row r="229" spans="1:11" x14ac:dyDescent="0.3">
      <c r="A229" s="24"/>
      <c r="B229" s="24"/>
      <c r="C229" s="7"/>
      <c r="D229" s="7"/>
      <c r="E229" s="7"/>
      <c r="F229" s="7"/>
      <c r="G229" s="7"/>
      <c r="H229" s="7"/>
      <c r="I229" s="7"/>
      <c r="J229" s="7"/>
      <c r="K229" s="7"/>
    </row>
    <row r="230" spans="1:11" x14ac:dyDescent="0.3">
      <c r="A230" s="10"/>
      <c r="B230" s="10"/>
      <c r="C230" s="7"/>
      <c r="D230" s="7"/>
      <c r="E230" s="7"/>
      <c r="F230" s="7"/>
      <c r="G230" s="7"/>
      <c r="H230" s="7"/>
      <c r="I230" s="7"/>
      <c r="J230" s="7"/>
      <c r="K230" s="7"/>
    </row>
    <row r="231" spans="1:11" x14ac:dyDescent="0.3">
      <c r="A231" s="10"/>
      <c r="B231" s="10"/>
      <c r="C231" s="7"/>
      <c r="D231" s="7"/>
      <c r="E231" s="7"/>
      <c r="F231" s="7"/>
      <c r="G231" s="7"/>
      <c r="H231" s="7"/>
      <c r="I231" s="7"/>
      <c r="J231" s="7"/>
      <c r="K231" s="7"/>
    </row>
    <row r="232" spans="1:11" x14ac:dyDescent="0.3">
      <c r="A232" s="10"/>
      <c r="B232" s="10"/>
      <c r="C232" s="7"/>
      <c r="D232" s="7"/>
      <c r="E232" s="7"/>
      <c r="F232" s="7"/>
      <c r="G232" s="7"/>
      <c r="H232" s="7"/>
      <c r="I232" s="7"/>
      <c r="J232" s="7"/>
      <c r="K232" s="7"/>
    </row>
    <row r="233" spans="1:11" x14ac:dyDescent="0.3">
      <c r="A233" s="10"/>
      <c r="B233" s="10"/>
      <c r="C233" s="7"/>
      <c r="D233" s="7"/>
      <c r="E233" s="7"/>
      <c r="F233" s="7"/>
      <c r="G233" s="7"/>
      <c r="H233" s="7"/>
      <c r="I233" s="7"/>
      <c r="J233" s="7"/>
      <c r="K233" s="7"/>
    </row>
    <row r="234" spans="1:11" x14ac:dyDescent="0.3">
      <c r="A234" s="10"/>
      <c r="B234" s="10"/>
      <c r="C234" s="7"/>
      <c r="D234" s="7"/>
      <c r="E234" s="7"/>
      <c r="F234" s="7"/>
      <c r="G234" s="7"/>
      <c r="H234" s="7"/>
      <c r="I234" s="7"/>
      <c r="J234" s="7"/>
      <c r="K234" s="7"/>
    </row>
    <row r="235" spans="1:11" x14ac:dyDescent="0.3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</row>
    <row r="236" spans="1:11" x14ac:dyDescent="0.3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</row>
    <row r="237" spans="1:11" x14ac:dyDescent="0.3">
      <c r="A237" s="25"/>
      <c r="B237" s="25"/>
      <c r="C237" s="25"/>
      <c r="D237" s="25"/>
      <c r="E237" s="25"/>
      <c r="F237" s="25"/>
      <c r="G237" s="7"/>
      <c r="H237" s="7"/>
      <c r="I237" s="7"/>
      <c r="J237" s="7"/>
      <c r="K237" s="7"/>
    </row>
    <row r="238" spans="1:11" x14ac:dyDescent="0.3">
      <c r="A238" s="10"/>
      <c r="B238" s="10"/>
      <c r="C238" s="10"/>
      <c r="D238" s="10"/>
      <c r="E238" s="10"/>
      <c r="F238" s="10"/>
      <c r="G238" s="7"/>
      <c r="H238" s="7"/>
      <c r="I238" s="7"/>
      <c r="J238" s="7"/>
      <c r="K238" s="7"/>
    </row>
    <row r="239" spans="1:11" x14ac:dyDescent="0.3">
      <c r="A239" s="10"/>
      <c r="B239" s="10"/>
      <c r="C239" s="10"/>
      <c r="D239" s="10"/>
      <c r="E239" s="10"/>
      <c r="F239" s="10"/>
      <c r="G239" s="7"/>
      <c r="H239" s="7"/>
      <c r="I239" s="7"/>
      <c r="J239" s="7"/>
      <c r="K239" s="7"/>
    </row>
    <row r="240" spans="1:11" x14ac:dyDescent="0.3">
      <c r="A240" s="10"/>
      <c r="B240" s="10"/>
      <c r="C240" s="10"/>
      <c r="D240" s="10"/>
      <c r="E240" s="10"/>
      <c r="F240" s="10"/>
      <c r="G240" s="7"/>
      <c r="H240" s="7"/>
      <c r="I240" s="7"/>
      <c r="J240" s="7"/>
      <c r="K240" s="7"/>
    </row>
    <row r="241" spans="1:11" x14ac:dyDescent="0.3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</row>
    <row r="242" spans="1:11" x14ac:dyDescent="0.3">
      <c r="A242" s="25"/>
      <c r="B242" s="25"/>
      <c r="C242" s="25"/>
      <c r="D242" s="25"/>
      <c r="E242" s="25"/>
      <c r="F242" s="25"/>
      <c r="G242" s="25"/>
      <c r="H242" s="25"/>
      <c r="I242" s="25"/>
      <c r="J242" s="7"/>
      <c r="K242" s="7"/>
    </row>
    <row r="243" spans="1:11" x14ac:dyDescent="0.3">
      <c r="A243" s="10"/>
      <c r="B243" s="10"/>
      <c r="C243" s="10"/>
      <c r="D243" s="10"/>
      <c r="E243" s="10"/>
      <c r="F243" s="10"/>
      <c r="G243" s="10"/>
      <c r="H243" s="10"/>
      <c r="I243" s="10"/>
      <c r="J243" s="7"/>
      <c r="K243" s="7"/>
    </row>
    <row r="244" spans="1:11" x14ac:dyDescent="0.3">
      <c r="A244" s="10"/>
      <c r="B244" s="10"/>
      <c r="C244" s="10"/>
      <c r="D244" s="10"/>
      <c r="E244" s="10"/>
      <c r="F244" s="10"/>
      <c r="G244" s="10"/>
      <c r="H244" s="10"/>
      <c r="I244" s="10"/>
      <c r="J244" s="7"/>
      <c r="K244" s="7"/>
    </row>
    <row r="245" spans="1:11" x14ac:dyDescent="0.3">
      <c r="A245" s="10"/>
      <c r="B245" s="10"/>
      <c r="C245" s="10"/>
      <c r="D245" s="10"/>
      <c r="E245" s="10"/>
      <c r="F245" s="10"/>
      <c r="G245" s="10"/>
      <c r="H245" s="10"/>
      <c r="I245" s="10"/>
      <c r="J245" s="7"/>
      <c r="K245" s="7"/>
    </row>
    <row r="246" spans="1:11" x14ac:dyDescent="0.3">
      <c r="A246" s="10"/>
      <c r="B246" s="10"/>
      <c r="C246" s="10"/>
      <c r="D246" s="10"/>
      <c r="E246" s="10"/>
      <c r="F246" s="10"/>
      <c r="G246" s="10"/>
      <c r="H246" s="10"/>
      <c r="I246" s="10"/>
      <c r="J246" s="7"/>
      <c r="K246" s="7"/>
    </row>
    <row r="247" spans="1:11" x14ac:dyDescent="0.3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</row>
    <row r="248" spans="1:11" x14ac:dyDescent="0.3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</row>
    <row r="249" spans="1:11" x14ac:dyDescent="0.3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</row>
  </sheetData>
  <hyperlinks>
    <hyperlink ref="B1" r:id="rId1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4"/>
  <sheetViews>
    <sheetView topLeftCell="A153" workbookViewId="0">
      <selection activeCell="I54" sqref="I54"/>
    </sheetView>
  </sheetViews>
  <sheetFormatPr defaultRowHeight="14.4" x14ac:dyDescent="0.3"/>
  <sheetData>
    <row r="1" spans="1:21" x14ac:dyDescent="0.3">
      <c r="A1" t="s">
        <v>199</v>
      </c>
      <c r="B1" t="s">
        <v>203</v>
      </c>
    </row>
    <row r="3" spans="1:21" x14ac:dyDescent="0.3">
      <c r="A3" t="s">
        <v>172</v>
      </c>
      <c r="E3" t="s">
        <v>174</v>
      </c>
      <c r="N3" t="s">
        <v>180</v>
      </c>
      <c r="R3">
        <v>14.5</v>
      </c>
      <c r="S3" t="s">
        <v>184</v>
      </c>
    </row>
    <row r="5" spans="1:21" x14ac:dyDescent="0.3">
      <c r="A5" t="s">
        <v>151</v>
      </c>
      <c r="B5" t="s">
        <v>165</v>
      </c>
      <c r="C5" t="s">
        <v>106</v>
      </c>
      <c r="D5" t="s">
        <v>151</v>
      </c>
      <c r="E5" t="s">
        <v>167</v>
      </c>
      <c r="G5" t="s">
        <v>168</v>
      </c>
      <c r="H5" t="s">
        <v>169</v>
      </c>
      <c r="J5" t="s">
        <v>168</v>
      </c>
      <c r="K5" t="s">
        <v>171</v>
      </c>
      <c r="N5" t="s">
        <v>176</v>
      </c>
      <c r="O5" t="s">
        <v>7</v>
      </c>
      <c r="Q5" t="s">
        <v>10</v>
      </c>
      <c r="R5" t="s">
        <v>178</v>
      </c>
      <c r="S5" t="s">
        <v>179</v>
      </c>
      <c r="T5" t="s">
        <v>181</v>
      </c>
    </row>
    <row r="6" spans="1:21" x14ac:dyDescent="0.3">
      <c r="A6" t="s">
        <v>164</v>
      </c>
      <c r="B6" t="s">
        <v>166</v>
      </c>
      <c r="E6" t="s">
        <v>166</v>
      </c>
      <c r="G6" t="s">
        <v>170</v>
      </c>
      <c r="H6" t="s">
        <v>66</v>
      </c>
      <c r="N6" t="s">
        <v>1</v>
      </c>
      <c r="O6" t="s">
        <v>177</v>
      </c>
    </row>
    <row r="7" spans="1:21" x14ac:dyDescent="0.3">
      <c r="A7">
        <v>0.143106457242582</v>
      </c>
      <c r="B7">
        <v>2.2293906810035802</v>
      </c>
      <c r="C7">
        <v>0</v>
      </c>
      <c r="D7">
        <v>0.14062927496579999</v>
      </c>
      <c r="E7">
        <v>6.3042813455657498</v>
      </c>
      <c r="G7">
        <v>3.6802892138347798</v>
      </c>
      <c r="H7">
        <v>6.9512761020881602</v>
      </c>
      <c r="J7">
        <v>3.69572531794562</v>
      </c>
      <c r="K7">
        <v>2.5451554560330698</v>
      </c>
      <c r="N7">
        <f>2/(G7+J7)</f>
        <v>0.27114914041760246</v>
      </c>
      <c r="O7">
        <f>($R$3-N7)*A30/B7</f>
        <v>0.90545669081878466</v>
      </c>
      <c r="Q7">
        <f>1/K7</f>
        <v>0.39290330876630225</v>
      </c>
      <c r="R7">
        <f>E7*A30/B7</f>
        <v>0.40117461216499745</v>
      </c>
      <c r="S7">
        <f>O7*(-24/180)+R7*12/46+A30*4.2/24.6</f>
        <v>8.1480308692989771E-3</v>
      </c>
      <c r="T7">
        <f>S7</f>
        <v>8.1480308692989771E-3</v>
      </c>
    </row>
    <row r="8" spans="1:21" x14ac:dyDescent="0.3">
      <c r="A8">
        <v>0.18708551483420599</v>
      </c>
      <c r="B8">
        <v>2.10394265232974</v>
      </c>
      <c r="C8">
        <v>0</v>
      </c>
      <c r="D8">
        <v>0.18495212038303599</v>
      </c>
      <c r="E8">
        <v>6.03669724770642</v>
      </c>
      <c r="G8">
        <v>2.3148491879350299</v>
      </c>
      <c r="H8">
        <v>5.2296983758700701</v>
      </c>
      <c r="J8">
        <v>2.2922516004937799</v>
      </c>
      <c r="K8">
        <v>1.82616484368271</v>
      </c>
      <c r="N8">
        <f t="shared" ref="N8:N23" si="0">2/(G8+J8)</f>
        <v>0.43411249109704708</v>
      </c>
      <c r="O8">
        <f t="shared" ref="O8:O9" si="1">($R$3-N8)*A31/B8</f>
        <v>1.2436269401757083</v>
      </c>
      <c r="Q8">
        <f t="shared" ref="Q8:Q23" si="2">1/K8</f>
        <v>0.54759569129770558</v>
      </c>
      <c r="R8">
        <f t="shared" ref="R8:R9" si="3">E8*A31/B8</f>
        <v>0.53373093750255529</v>
      </c>
      <c r="S8">
        <f t="shared" ref="S8:S9" si="4">O8*(-24/180)+R8*12/46+A31*4.2/24.6</f>
        <v>5.1765425760242553E-3</v>
      </c>
      <c r="T8">
        <f t="shared" ref="T8:T22" si="5">S8</f>
        <v>5.1765425760242553E-3</v>
      </c>
    </row>
    <row r="9" spans="1:21" x14ac:dyDescent="0.3">
      <c r="A9">
        <v>0.24223385689354199</v>
      </c>
      <c r="B9">
        <v>1.82795698924731</v>
      </c>
      <c r="C9">
        <v>0</v>
      </c>
      <c r="D9">
        <v>0.24131326949384399</v>
      </c>
      <c r="E9">
        <v>5.7905198776758402</v>
      </c>
      <c r="G9">
        <v>1.04640371229698</v>
      </c>
      <c r="H9">
        <v>4.0928074245939596</v>
      </c>
      <c r="J9">
        <v>1.04224155255074</v>
      </c>
      <c r="K9">
        <v>1.2585479286883099</v>
      </c>
      <c r="N9">
        <f t="shared" si="0"/>
        <v>0.95755848714971559</v>
      </c>
      <c r="O9">
        <f t="shared" si="1"/>
        <v>1.7911823736357193</v>
      </c>
      <c r="Q9">
        <f t="shared" si="2"/>
        <v>0.79456648189968015</v>
      </c>
      <c r="R9">
        <f t="shared" si="3"/>
        <v>0.76587941171748508</v>
      </c>
      <c r="S9">
        <f t="shared" si="4"/>
        <v>2.2487258871206964E-3</v>
      </c>
      <c r="T9">
        <f t="shared" si="5"/>
        <v>2.2487258871206964E-3</v>
      </c>
    </row>
    <row r="10" spans="1:21" x14ac:dyDescent="0.3">
      <c r="A10">
        <v>0.35671902268760902</v>
      </c>
      <c r="B10">
        <v>0.59498207885304599</v>
      </c>
      <c r="C10">
        <v>0</v>
      </c>
      <c r="D10">
        <v>0.35512995896032801</v>
      </c>
      <c r="E10">
        <v>1.7232415902140601</v>
      </c>
      <c r="G10">
        <v>0.10376625478875499</v>
      </c>
      <c r="H10">
        <v>2.7610208816705302</v>
      </c>
      <c r="J10">
        <v>7.5181580684982402E-2</v>
      </c>
      <c r="K10">
        <v>0.78325725605029595</v>
      </c>
      <c r="N10">
        <f t="shared" si="0"/>
        <v>11.176441417719873</v>
      </c>
      <c r="O10">
        <f>($R$3-N10)*(A10+D10)/2/B10</f>
        <v>1.9881874398671708</v>
      </c>
      <c r="Q10">
        <f t="shared" si="2"/>
        <v>1.2767197396199879</v>
      </c>
      <c r="R10">
        <f>E10*(A10+D10)/2/B10</f>
        <v>1.0308611088689854</v>
      </c>
      <c r="S10">
        <f>O10*(-24/180)+R10*12/46+(A10+D10)/2*4.2/24.6</f>
        <v>6.4596226615550062E-2</v>
      </c>
      <c r="U10" t="s">
        <v>183</v>
      </c>
    </row>
    <row r="11" spans="1:21" x14ac:dyDescent="0.3">
      <c r="A11">
        <v>9.2844677137870799E-2</v>
      </c>
      <c r="B11">
        <v>2.1863799283154099</v>
      </c>
      <c r="C11">
        <v>16.2</v>
      </c>
      <c r="D11">
        <v>8.9740082079343295E-2</v>
      </c>
      <c r="E11">
        <v>6.2507645259938798</v>
      </c>
      <c r="G11">
        <v>5.3364107268116303</v>
      </c>
      <c r="H11">
        <v>10.686774941995299</v>
      </c>
      <c r="J11">
        <v>5.2533746734418498</v>
      </c>
      <c r="K11">
        <v>3.7780897424855699</v>
      </c>
      <c r="N11">
        <f t="shared" si="0"/>
        <v>0.18886123980870542</v>
      </c>
      <c r="O11">
        <f>($R$3-N11)*A33/B11</f>
        <v>0.59756215990030648</v>
      </c>
      <c r="Q11">
        <f t="shared" si="2"/>
        <v>0.26468402503909538</v>
      </c>
      <c r="R11">
        <f>E11*A33/B11</f>
        <v>0.26100091780056156</v>
      </c>
      <c r="S11">
        <f>O11*(-24/180)+R11*12/46+A33*4.2/24.6</f>
        <v>3.9987451302142211E-3</v>
      </c>
      <c r="T11">
        <f t="shared" si="5"/>
        <v>3.9987451302142211E-3</v>
      </c>
    </row>
    <row r="12" spans="1:21" x14ac:dyDescent="0.3">
      <c r="A12">
        <v>0.141710296684118</v>
      </c>
      <c r="B12">
        <v>1.9928315412186299</v>
      </c>
      <c r="C12">
        <v>16.2</v>
      </c>
      <c r="D12">
        <v>0.14062927496579999</v>
      </c>
      <c r="E12">
        <v>5.9938837920489298</v>
      </c>
      <c r="G12">
        <v>2.68726595802082</v>
      </c>
      <c r="H12">
        <v>6.9512761020881602</v>
      </c>
      <c r="J12">
        <v>2.6819280567278101</v>
      </c>
      <c r="K12">
        <v>2.2689001808629699</v>
      </c>
      <c r="N12">
        <f t="shared" si="0"/>
        <v>0.3724953865526564</v>
      </c>
      <c r="O12">
        <f>($R$3-N12)*A34/B12</f>
        <v>1.000775408894776</v>
      </c>
      <c r="Q12">
        <f t="shared" si="2"/>
        <v>0.44074217474814287</v>
      </c>
      <c r="R12">
        <f>E12*A34/B12</f>
        <v>0.42459950762612414</v>
      </c>
      <c r="S12">
        <f>O12*(-24/180)+R12*12/46+A34*4.2/24.6</f>
        <v>1.4305263154560793E-3</v>
      </c>
      <c r="T12">
        <f t="shared" si="5"/>
        <v>1.4305263154560793E-3</v>
      </c>
    </row>
    <row r="13" spans="1:21" x14ac:dyDescent="0.3">
      <c r="A13">
        <v>0.186387434554973</v>
      </c>
      <c r="B13">
        <v>1.66308243727598</v>
      </c>
      <c r="C13">
        <v>16.2</v>
      </c>
      <c r="D13">
        <v>0.186046511627907</v>
      </c>
      <c r="E13">
        <v>5.9082568807339397</v>
      </c>
      <c r="G13">
        <v>1.41946258026223</v>
      </c>
      <c r="H13">
        <v>5.2621809744779604</v>
      </c>
      <c r="J13">
        <v>1.38442281744322</v>
      </c>
      <c r="K13">
        <v>1.5143570751873201</v>
      </c>
      <c r="N13">
        <f t="shared" si="0"/>
        <v>0.71329591488892274</v>
      </c>
      <c r="O13">
        <f>($R$3-N13)*A35/B13</f>
        <v>1.5437107903333249</v>
      </c>
      <c r="Q13">
        <f t="shared" si="2"/>
        <v>0.66034623959233918</v>
      </c>
      <c r="R13">
        <f>E13*A35/B13</f>
        <v>0.66155332286415802</v>
      </c>
      <c r="S13">
        <f>O13*(-24/180)+R13*12/46+A35*4.2/24.6</f>
        <v>-1.4558359267642512E-3</v>
      </c>
      <c r="T13">
        <f t="shared" si="5"/>
        <v>-1.4558359267642512E-3</v>
      </c>
    </row>
    <row r="14" spans="1:21" x14ac:dyDescent="0.3">
      <c r="A14">
        <v>0.24712041884816699</v>
      </c>
      <c r="B14">
        <v>1.21146953405017</v>
      </c>
      <c r="C14">
        <v>16.2</v>
      </c>
      <c r="D14">
        <v>0.23967168262653901</v>
      </c>
      <c r="E14">
        <v>5.1269113149847101</v>
      </c>
      <c r="G14">
        <v>0.41151999136675099</v>
      </c>
      <c r="H14">
        <v>4.0928074245939596</v>
      </c>
      <c r="J14">
        <v>0.381879252433038</v>
      </c>
      <c r="K14">
        <v>0.96904659374730795</v>
      </c>
      <c r="N14">
        <f t="shared" si="0"/>
        <v>2.5207989743240691</v>
      </c>
      <c r="O14">
        <f>($R$3-N14)*A36/B14</f>
        <v>2.4067383773908619</v>
      </c>
      <c r="Q14">
        <f t="shared" si="2"/>
        <v>1.0319421237868398</v>
      </c>
      <c r="R14">
        <f>E14*A36/B14</f>
        <v>1.0300465108487409</v>
      </c>
      <c r="S14">
        <f>O14*(-24/180)+R14*12/46+A36*4.2/24.6</f>
        <v>-1.06352415833584E-2</v>
      </c>
      <c r="T14">
        <f t="shared" si="5"/>
        <v>-1.06352415833584E-2</v>
      </c>
    </row>
    <row r="15" spans="1:21" x14ac:dyDescent="0.3">
      <c r="A15">
        <v>0.31204188481675399</v>
      </c>
      <c r="B15">
        <v>0.58781362007168403</v>
      </c>
      <c r="C15">
        <v>16.2</v>
      </c>
      <c r="D15">
        <v>0.313543091655266</v>
      </c>
      <c r="E15">
        <v>0.567278287461774</v>
      </c>
      <c r="G15">
        <v>0.119554308530729</v>
      </c>
      <c r="H15">
        <v>3.1832946635730801</v>
      </c>
      <c r="N15">
        <f>1/(G15)</f>
        <v>8.3643995125693884</v>
      </c>
      <c r="O15">
        <f>($R$3-N15)*(A15+D15)/2/B15</f>
        <v>3.264929014491794</v>
      </c>
      <c r="Q15" t="e">
        <f t="shared" si="2"/>
        <v>#DIV/0!</v>
      </c>
      <c r="R15">
        <f>E15*(A15+D15)/2/B15</f>
        <v>0.30186504871355646</v>
      </c>
      <c r="S15">
        <f>O15*(-24/180)+R15*12/46+(A15+D15)/2*4.2/24.6</f>
        <v>-0.30317286903418422</v>
      </c>
      <c r="U15" t="s">
        <v>183</v>
      </c>
    </row>
    <row r="16" spans="1:21" x14ac:dyDescent="0.3">
      <c r="A16">
        <v>9.14485165794066E-2</v>
      </c>
      <c r="B16">
        <v>2.1003584229390602</v>
      </c>
      <c r="C16">
        <v>27</v>
      </c>
      <c r="D16">
        <v>8.9192886456908302E-2</v>
      </c>
      <c r="E16">
        <v>6.1223241590214004</v>
      </c>
      <c r="G16">
        <v>4.2782334214644102</v>
      </c>
      <c r="H16">
        <v>10.7192575406032</v>
      </c>
      <c r="J16">
        <v>4.2869577699308099</v>
      </c>
      <c r="K16">
        <v>3.6302816294892701</v>
      </c>
      <c r="N16">
        <f t="shared" si="0"/>
        <v>0.23350325232777572</v>
      </c>
      <c r="O16">
        <f>($R$3-N16)*A37/B16</f>
        <v>0.61349528746296911</v>
      </c>
      <c r="Q16">
        <f t="shared" si="2"/>
        <v>0.2754607223519146</v>
      </c>
      <c r="R16">
        <f>E16*A37/B16</f>
        <v>0.26327535668440538</v>
      </c>
      <c r="S16">
        <f>O16*(-24/180)+R16*12/46+A37*4.2/24.6</f>
        <v>2.3017637452560219E-3</v>
      </c>
      <c r="T16">
        <f t="shared" si="5"/>
        <v>2.3017637452560219E-3</v>
      </c>
    </row>
    <row r="17" spans="1:23" x14ac:dyDescent="0.3">
      <c r="A17">
        <v>0.141710296684118</v>
      </c>
      <c r="B17">
        <v>1.9032258064516101</v>
      </c>
      <c r="C17">
        <v>27</v>
      </c>
      <c r="D17">
        <v>0.14062927496579999</v>
      </c>
      <c r="E17">
        <v>5.9938837920489298</v>
      </c>
      <c r="G17">
        <v>2.10114390546592</v>
      </c>
      <c r="H17">
        <v>7.0162412993039398</v>
      </c>
      <c r="J17">
        <v>2.0809577125139902</v>
      </c>
      <c r="K17">
        <v>2.2247523899750199</v>
      </c>
      <c r="N17">
        <f t="shared" si="0"/>
        <v>0.47822845609525488</v>
      </c>
      <c r="O17">
        <f>($R$3-N17)*A38/B17</f>
        <v>1.0400502552190805</v>
      </c>
      <c r="Q17">
        <f t="shared" si="2"/>
        <v>0.4494882237259798</v>
      </c>
      <c r="R17">
        <f>E17*A38/B17</f>
        <v>0.44459006824882186</v>
      </c>
      <c r="S17">
        <f>O17*(-24/180)+R17*12/46+A38*4.2/24.6</f>
        <v>1.4088089969772066E-3</v>
      </c>
      <c r="T17">
        <f t="shared" si="5"/>
        <v>1.4088089969772066E-3</v>
      </c>
    </row>
    <row r="18" spans="1:23" x14ac:dyDescent="0.3">
      <c r="A18">
        <v>0.18708551483420599</v>
      </c>
      <c r="B18">
        <v>1.2831541218637901</v>
      </c>
      <c r="C18">
        <v>27</v>
      </c>
      <c r="D18">
        <v>0.186046511627907</v>
      </c>
      <c r="E18">
        <v>5.4801223241590202</v>
      </c>
      <c r="G18">
        <v>0.62182593212108095</v>
      </c>
      <c r="H18">
        <v>5.2296983758700701</v>
      </c>
      <c r="J18">
        <v>0.59452817730313101</v>
      </c>
      <c r="K18">
        <v>1.2605115838429</v>
      </c>
      <c r="N18">
        <f t="shared" si="0"/>
        <v>1.6442580203447039</v>
      </c>
      <c r="O18">
        <f>($R$3-N18)*A39/B18</f>
        <v>1.8691788362785768</v>
      </c>
      <c r="Q18">
        <f t="shared" si="2"/>
        <v>0.79332868719168548</v>
      </c>
      <c r="R18">
        <f>E18*A39/B18</f>
        <v>0.79679015686113375</v>
      </c>
      <c r="S18">
        <f>O18*(-24/180)+R18*12/46+A39*4.2/24.6</f>
        <v>-9.5128090810046376E-3</v>
      </c>
      <c r="T18">
        <f t="shared" si="5"/>
        <v>-9.5128090810046376E-3</v>
      </c>
    </row>
    <row r="19" spans="1:23" x14ac:dyDescent="0.3">
      <c r="A19">
        <v>0.24083769633507801</v>
      </c>
      <c r="B19">
        <v>0.60931899641577003</v>
      </c>
      <c r="C19">
        <v>27</v>
      </c>
      <c r="D19">
        <v>0.24186046511627901</v>
      </c>
      <c r="E19">
        <v>2.4403669724770598</v>
      </c>
      <c r="G19">
        <v>5.3493767873522502E-2</v>
      </c>
      <c r="H19">
        <v>3.9953596287702999</v>
      </c>
      <c r="J19">
        <v>7.5617948497114895E-2</v>
      </c>
      <c r="K19">
        <v>1.0054775643786</v>
      </c>
      <c r="N19">
        <f t="shared" si="0"/>
        <v>15.490460945145024</v>
      </c>
      <c r="O19">
        <f>($R$3-N19)*(A19+D19)/2/B19</f>
        <v>-0.39231804688774907</v>
      </c>
      <c r="Q19">
        <f t="shared" si="2"/>
        <v>0.99455227588097872</v>
      </c>
      <c r="R19">
        <f>E19*(A19+D19)/2/B19</f>
        <v>0.96662065175258982</v>
      </c>
      <c r="S19">
        <f>O19*(-24/180)+R19*12/46+(A19+D19)/2*4.2/24.6</f>
        <v>0.34567692268291728</v>
      </c>
      <c r="U19" t="s">
        <v>183</v>
      </c>
    </row>
    <row r="20" spans="1:23" x14ac:dyDescent="0.3">
      <c r="A20">
        <v>6.8411867364746901E-2</v>
      </c>
      <c r="B20">
        <v>1.85304659498207</v>
      </c>
      <c r="C20">
        <v>54.6</v>
      </c>
      <c r="D20">
        <v>6.5116279069767399E-2</v>
      </c>
      <c r="E20">
        <v>6.2186544342507597</v>
      </c>
      <c r="G20">
        <v>2.79215453515351</v>
      </c>
      <c r="H20">
        <v>14.7470997679814</v>
      </c>
      <c r="J20">
        <v>2.7802486148192802</v>
      </c>
      <c r="K20">
        <v>4.3386443889415203</v>
      </c>
      <c r="N20">
        <f t="shared" si="0"/>
        <v>0.35891157659864686</v>
      </c>
      <c r="O20">
        <f>($R$3-N20)*A40/B20</f>
        <v>0.50949429195589691</v>
      </c>
      <c r="Q20">
        <f t="shared" si="2"/>
        <v>0.23048673971732575</v>
      </c>
      <c r="R20">
        <f>E20*A40/B20</f>
        <v>0.22405410694227892</v>
      </c>
      <c r="S20">
        <f>O20*(-24/180)+R20*12/46+A40*4.2/24.6</f>
        <v>1.9150694102413393E-3</v>
      </c>
      <c r="T20">
        <f t="shared" si="5"/>
        <v>1.9150694102413393E-3</v>
      </c>
    </row>
    <row r="21" spans="1:23" x14ac:dyDescent="0.3">
      <c r="A21">
        <v>9.07504363001745E-2</v>
      </c>
      <c r="B21">
        <v>1.59498207885304</v>
      </c>
      <c r="C21">
        <v>54.6</v>
      </c>
      <c r="D21">
        <v>8.9192886456908302E-2</v>
      </c>
      <c r="E21">
        <v>5.9082568807339397</v>
      </c>
      <c r="G21">
        <v>1.2990881130955501</v>
      </c>
      <c r="H21">
        <v>10.784222737819</v>
      </c>
      <c r="J21">
        <v>1.2927166767146001</v>
      </c>
      <c r="K21">
        <v>2.8130049091378799</v>
      </c>
      <c r="N21">
        <f t="shared" si="0"/>
        <v>0.77166305420189452</v>
      </c>
      <c r="O21">
        <f>($R$3-N21)*A41/B21</f>
        <v>0.77440448977713738</v>
      </c>
      <c r="Q21">
        <f t="shared" si="2"/>
        <v>0.35549173652401361</v>
      </c>
      <c r="R21">
        <f>E21*A41/B21</f>
        <v>0.33328003772499448</v>
      </c>
      <c r="S21">
        <f>O21*(-24/180)+R21*12/46+A41*4.2/24.6</f>
        <v>-9.5029807601796148E-4</v>
      </c>
      <c r="T21">
        <f t="shared" si="5"/>
        <v>-9.5029807601796148E-4</v>
      </c>
    </row>
    <row r="22" spans="1:23" x14ac:dyDescent="0.3">
      <c r="A22">
        <v>0.14380453752181499</v>
      </c>
      <c r="B22">
        <v>1.168458781362</v>
      </c>
      <c r="C22">
        <v>54.6</v>
      </c>
      <c r="D22">
        <v>0.14117647058823499</v>
      </c>
      <c r="E22">
        <v>4.6666666666666599</v>
      </c>
      <c r="G22">
        <v>0.26164679220849202</v>
      </c>
      <c r="H22">
        <v>6.9837587006960504</v>
      </c>
      <c r="J22">
        <v>0.26555278040938202</v>
      </c>
      <c r="K22">
        <v>1.72979071570062</v>
      </c>
      <c r="N22">
        <f t="shared" si="0"/>
        <v>3.7936297824915814</v>
      </c>
      <c r="O22">
        <f>($R$3-N22)*A42/B22</f>
        <v>1.3056139533773163</v>
      </c>
      <c r="Q22">
        <f t="shared" si="2"/>
        <v>0.57810461746811281</v>
      </c>
      <c r="R22">
        <f>E22*A42/B22</f>
        <v>0.56908784134859947</v>
      </c>
      <c r="S22">
        <f>O22*(-24/180)+R22*12/46+A42*4.2/24.6</f>
        <v>-1.2965156734111895E-3</v>
      </c>
      <c r="T22">
        <f t="shared" si="5"/>
        <v>-1.2965156734111895E-3</v>
      </c>
    </row>
    <row r="23" spans="1:23" x14ac:dyDescent="0.3">
      <c r="A23">
        <v>0.184991273996509</v>
      </c>
      <c r="B23">
        <v>0.40143369175627203</v>
      </c>
      <c r="C23">
        <v>54.6</v>
      </c>
      <c r="D23">
        <v>0.18659370725034199</v>
      </c>
      <c r="E23">
        <v>1.49847094801223</v>
      </c>
      <c r="G23">
        <v>6.8262019101063207E-2</v>
      </c>
      <c r="H23">
        <v>5.29466357308584</v>
      </c>
      <c r="J23">
        <v>7.6375850486607402E-2</v>
      </c>
      <c r="K23">
        <v>1.3914391525277701</v>
      </c>
      <c r="N23">
        <f t="shared" si="0"/>
        <v>13.827637296522282</v>
      </c>
      <c r="O23">
        <f>($R$3-N23)*A43/B23</f>
        <v>0</v>
      </c>
      <c r="Q23">
        <f t="shared" si="2"/>
        <v>0.71868036642733624</v>
      </c>
      <c r="R23">
        <f>E23*A43/B23</f>
        <v>0</v>
      </c>
      <c r="S23">
        <f>O23*(-24/180)+R23*12/46+A43*4.2/24.6</f>
        <v>0</v>
      </c>
      <c r="U23" t="s">
        <v>183</v>
      </c>
    </row>
    <row r="25" spans="1:23" x14ac:dyDescent="0.3">
      <c r="S25">
        <f>SUM(S7:S23)</f>
        <v>0.10987779285431551</v>
      </c>
      <c r="T25">
        <f>SUM(T7:T23)</f>
        <v>2.7775125900323591E-3</v>
      </c>
      <c r="U25" t="s">
        <v>182</v>
      </c>
    </row>
    <row r="26" spans="1:23" x14ac:dyDescent="0.3">
      <c r="A26" t="s">
        <v>173</v>
      </c>
    </row>
    <row r="29" spans="1:23" x14ac:dyDescent="0.3">
      <c r="A29" s="2" t="s">
        <v>49</v>
      </c>
      <c r="B29" s="2" t="s">
        <v>138</v>
      </c>
      <c r="C29" s="2" t="s">
        <v>175</v>
      </c>
      <c r="D29" s="2"/>
      <c r="E29" s="2" t="s">
        <v>151</v>
      </c>
      <c r="F29" s="2" t="s">
        <v>154</v>
      </c>
      <c r="G29" s="2"/>
      <c r="H29" s="2"/>
      <c r="I29" s="2" t="s">
        <v>7</v>
      </c>
    </row>
    <row r="30" spans="1:23" x14ac:dyDescent="0.3">
      <c r="A30">
        <f>AVERAGE(A7,D7)</f>
        <v>0.141867866104191</v>
      </c>
      <c r="B30">
        <f>C7+E7</f>
        <v>6.3042813455657498</v>
      </c>
      <c r="C30">
        <f>A30*B30</f>
        <v>0.89437494181587085</v>
      </c>
      <c r="E30">
        <f>A30</f>
        <v>0.141867866104191</v>
      </c>
      <c r="F30">
        <f>C30</f>
        <v>0.89437494181587085</v>
      </c>
      <c r="I30">
        <f>O7</f>
        <v>0.90545669081878466</v>
      </c>
      <c r="U30" t="s">
        <v>162</v>
      </c>
      <c r="V30" t="s">
        <v>188</v>
      </c>
      <c r="W30" t="s">
        <v>189</v>
      </c>
    </row>
    <row r="31" spans="1:23" x14ac:dyDescent="0.3">
      <c r="A31">
        <f t="shared" ref="A31:A32" si="6">AVERAGE(A8,D8)</f>
        <v>0.18601881760862099</v>
      </c>
      <c r="B31">
        <f t="shared" ref="B31:B32" si="7">C8+E8</f>
        <v>6.03669724770642</v>
      </c>
      <c r="C31">
        <f t="shared" ref="C31:C39" si="8">A31*B31</f>
        <v>1.1229392842795649</v>
      </c>
      <c r="E31">
        <f t="shared" ref="E31:E39" si="9">A31</f>
        <v>0.18601881760862099</v>
      </c>
      <c r="F31">
        <f t="shared" ref="F31:F39" si="10">C31</f>
        <v>1.1229392842795649</v>
      </c>
      <c r="I31">
        <f t="shared" ref="I31:I32" si="11">O8</f>
        <v>1.2436269401757083</v>
      </c>
      <c r="U31">
        <v>6</v>
      </c>
      <c r="V31">
        <v>-0.37780000000000002</v>
      </c>
      <c r="W31">
        <v>8.9067000000000007</v>
      </c>
    </row>
    <row r="32" spans="1:23" x14ac:dyDescent="0.3">
      <c r="A32">
        <f t="shared" si="6"/>
        <v>0.24177356319369298</v>
      </c>
      <c r="B32">
        <f t="shared" si="7"/>
        <v>5.7905198776758402</v>
      </c>
      <c r="C32">
        <f t="shared" si="8"/>
        <v>1.399994623569595</v>
      </c>
      <c r="E32">
        <f t="shared" si="9"/>
        <v>0.24177356319369298</v>
      </c>
      <c r="F32">
        <f t="shared" si="10"/>
        <v>1.399994623569595</v>
      </c>
      <c r="I32">
        <f t="shared" si="11"/>
        <v>1.7911823736357193</v>
      </c>
      <c r="U32">
        <v>22</v>
      </c>
      <c r="V32">
        <v>-0.59</v>
      </c>
      <c r="W32">
        <v>11.96</v>
      </c>
    </row>
    <row r="33" spans="1:23" x14ac:dyDescent="0.3">
      <c r="A33">
        <f>AVERAGE(A11,D11)</f>
        <v>9.1292379608607047E-2</v>
      </c>
      <c r="B33">
        <f>C11+E11</f>
        <v>22.450764525993879</v>
      </c>
      <c r="C33">
        <f t="shared" si="8"/>
        <v>2.0495837176104819</v>
      </c>
      <c r="E33">
        <f t="shared" si="9"/>
        <v>9.1292379608607047E-2</v>
      </c>
      <c r="F33">
        <f t="shared" si="10"/>
        <v>2.0495837176104819</v>
      </c>
      <c r="I33">
        <f>O11</f>
        <v>0.59756215990030648</v>
      </c>
      <c r="U33">
        <v>33</v>
      </c>
      <c r="V33">
        <v>-0.63</v>
      </c>
      <c r="W33">
        <v>12.95</v>
      </c>
    </row>
    <row r="34" spans="1:23" x14ac:dyDescent="0.3">
      <c r="A34">
        <f>AVERAGE(A12,D12)</f>
        <v>0.14116978582495898</v>
      </c>
      <c r="B34">
        <f>C12+E12</f>
        <v>22.193883792048929</v>
      </c>
      <c r="C34">
        <f t="shared" si="8"/>
        <v>3.1331058215475758</v>
      </c>
      <c r="E34">
        <f t="shared" si="9"/>
        <v>0.14116978582495898</v>
      </c>
      <c r="F34">
        <f t="shared" si="10"/>
        <v>3.1331058215475758</v>
      </c>
      <c r="I34">
        <f>O12</f>
        <v>1.000775408894776</v>
      </c>
      <c r="U34">
        <v>60</v>
      </c>
      <c r="V34">
        <v>-0.1787</v>
      </c>
      <c r="W34">
        <v>10.44</v>
      </c>
    </row>
    <row r="35" spans="1:23" x14ac:dyDescent="0.3">
      <c r="A35">
        <f>AVERAGE(A13,D13)</f>
        <v>0.18621697309144</v>
      </c>
      <c r="B35">
        <f>C13+E13</f>
        <v>22.10825688073394</v>
      </c>
      <c r="C35">
        <f t="shared" si="8"/>
        <v>4.1169326766582754</v>
      </c>
      <c r="E35">
        <f t="shared" si="9"/>
        <v>0.18621697309144</v>
      </c>
      <c r="F35">
        <f t="shared" si="10"/>
        <v>4.1169326766582754</v>
      </c>
      <c r="I35">
        <f>O13</f>
        <v>1.5437107903333249</v>
      </c>
    </row>
    <row r="36" spans="1:23" x14ac:dyDescent="0.3">
      <c r="A36">
        <f>AVERAGE(A14,D14)</f>
        <v>0.24339605073735299</v>
      </c>
      <c r="B36">
        <f>C14+E14</f>
        <v>21.326911314984709</v>
      </c>
      <c r="C36">
        <f t="shared" si="8"/>
        <v>5.1908859884930454</v>
      </c>
      <c r="E36">
        <f t="shared" si="9"/>
        <v>0.24339605073735299</v>
      </c>
      <c r="F36">
        <f t="shared" si="10"/>
        <v>5.1908859884930454</v>
      </c>
      <c r="I36">
        <f>O14</f>
        <v>2.4067383773908619</v>
      </c>
    </row>
    <row r="37" spans="1:23" x14ac:dyDescent="0.3">
      <c r="A37">
        <f>AVERAGE(A16,D16)</f>
        <v>9.0320701518157451E-2</v>
      </c>
      <c r="B37">
        <f>C16+E16</f>
        <v>33.122324159021403</v>
      </c>
      <c r="C37">
        <f t="shared" si="8"/>
        <v>2.9916315539546274</v>
      </c>
      <c r="E37">
        <f t="shared" si="9"/>
        <v>9.0320701518157451E-2</v>
      </c>
      <c r="F37">
        <f t="shared" si="10"/>
        <v>2.9916315539546274</v>
      </c>
      <c r="I37">
        <f>O16</f>
        <v>0.61349528746296911</v>
      </c>
    </row>
    <row r="38" spans="1:23" x14ac:dyDescent="0.3">
      <c r="A38">
        <f>AVERAGE(A17,D17)</f>
        <v>0.14116978582495898</v>
      </c>
      <c r="B38">
        <f>C17+E17</f>
        <v>32.993883792048933</v>
      </c>
      <c r="C38">
        <f t="shared" si="8"/>
        <v>4.6577395084571336</v>
      </c>
      <c r="E38">
        <f t="shared" si="9"/>
        <v>0.14116978582495898</v>
      </c>
      <c r="F38">
        <f t="shared" si="10"/>
        <v>4.6577395084571336</v>
      </c>
      <c r="I38">
        <f>O17</f>
        <v>1.0400502552190805</v>
      </c>
    </row>
    <row r="39" spans="1:23" x14ac:dyDescent="0.3">
      <c r="A39">
        <f>AVERAGE(A18,D18)</f>
        <v>0.18656601323105648</v>
      </c>
      <c r="B39">
        <f>C18+E18</f>
        <v>32.480122324159019</v>
      </c>
      <c r="C39">
        <f t="shared" si="8"/>
        <v>6.0596869312753849</v>
      </c>
      <c r="E39">
        <f t="shared" si="9"/>
        <v>0.18656601323105648</v>
      </c>
      <c r="F39">
        <f t="shared" si="10"/>
        <v>6.0596869312753849</v>
      </c>
      <c r="I39">
        <f>O18</f>
        <v>1.8691788362785768</v>
      </c>
    </row>
    <row r="40" spans="1:23" x14ac:dyDescent="0.3">
      <c r="A40">
        <f>AVERAGE(A20,D20)</f>
        <v>6.676407321725715E-2</v>
      </c>
      <c r="B40">
        <f>C20+E20</f>
        <v>60.81865443425076</v>
      </c>
      <c r="C40">
        <f>A40*B40</f>
        <v>4.0605010976233791</v>
      </c>
      <c r="E40">
        <f>A40</f>
        <v>6.676407321725715E-2</v>
      </c>
      <c r="F40">
        <f>C40</f>
        <v>4.0605010976233791</v>
      </c>
      <c r="I40">
        <f>O20</f>
        <v>0.50949429195589691</v>
      </c>
    </row>
    <row r="41" spans="1:23" x14ac:dyDescent="0.3">
      <c r="A41">
        <f>AVERAGE(A21,D21)</f>
        <v>8.9971661378541401E-2</v>
      </c>
      <c r="B41">
        <f>C21+E21</f>
        <v>60.508256880733938</v>
      </c>
      <c r="C41">
        <f>A41*B41</f>
        <v>5.4440283986791913</v>
      </c>
      <c r="E41">
        <f>A41</f>
        <v>8.9971661378541401E-2</v>
      </c>
      <c r="F41">
        <f>C41</f>
        <v>5.4440283986791913</v>
      </c>
      <c r="I41">
        <f>O21</f>
        <v>0.77440448977713738</v>
      </c>
    </row>
    <row r="42" spans="1:23" x14ac:dyDescent="0.3">
      <c r="A42">
        <f>AVERAGE(A22,D22)</f>
        <v>0.142490504055025</v>
      </c>
      <c r="B42">
        <f>C22+E22</f>
        <v>59.266666666666659</v>
      </c>
      <c r="C42">
        <f>A42*B42</f>
        <v>8.4449372069944815</v>
      </c>
      <c r="E42">
        <f>A42</f>
        <v>0.142490504055025</v>
      </c>
      <c r="F42">
        <f>C42</f>
        <v>8.4449372069944815</v>
      </c>
      <c r="I42">
        <f>O22</f>
        <v>1.3056139533773163</v>
      </c>
    </row>
    <row r="47" spans="1:23" x14ac:dyDescent="0.3">
      <c r="A47" t="s">
        <v>127</v>
      </c>
      <c r="L47" t="s">
        <v>128</v>
      </c>
    </row>
    <row r="48" spans="1:23" x14ac:dyDescent="0.3">
      <c r="A48" t="s">
        <v>70</v>
      </c>
      <c r="L48" t="s">
        <v>70</v>
      </c>
    </row>
    <row r="49" spans="1:20" ht="15" thickBot="1" x14ac:dyDescent="0.35"/>
    <row r="50" spans="1:20" x14ac:dyDescent="0.3">
      <c r="A50" s="13" t="s">
        <v>71</v>
      </c>
      <c r="B50" s="13"/>
      <c r="L50" s="13" t="s">
        <v>71</v>
      </c>
      <c r="M50" s="13"/>
    </row>
    <row r="51" spans="1:20" x14ac:dyDescent="0.3">
      <c r="A51" s="10" t="s">
        <v>72</v>
      </c>
      <c r="B51" s="10">
        <v>0.93323865539541628</v>
      </c>
      <c r="L51" s="10" t="s">
        <v>72</v>
      </c>
      <c r="M51" s="10">
        <v>0.9721910490739144</v>
      </c>
    </row>
    <row r="52" spans="1:20" x14ac:dyDescent="0.3">
      <c r="A52" s="10" t="s">
        <v>73</v>
      </c>
      <c r="B52" s="10">
        <v>0.87093438792424449</v>
      </c>
      <c r="L52" s="10" t="s">
        <v>73</v>
      </c>
      <c r="M52" s="10">
        <v>0.94515543589943829</v>
      </c>
    </row>
    <row r="53" spans="1:20" x14ac:dyDescent="0.3">
      <c r="A53" s="10" t="s">
        <v>74</v>
      </c>
      <c r="B53" s="10">
        <v>0.8592011504628122</v>
      </c>
      <c r="L53" s="10" t="s">
        <v>74</v>
      </c>
      <c r="M53" s="10">
        <v>0.93418652307932604</v>
      </c>
    </row>
    <row r="54" spans="1:20" x14ac:dyDescent="0.3">
      <c r="A54" s="10" t="s">
        <v>69</v>
      </c>
      <c r="B54" s="10">
        <v>0.21395854223183602</v>
      </c>
      <c r="L54" s="10" t="s">
        <v>69</v>
      </c>
      <c r="M54" s="10">
        <v>0.14628085655687662</v>
      </c>
    </row>
    <row r="55" spans="1:20" ht="15" thickBot="1" x14ac:dyDescent="0.35">
      <c r="A55" s="11" t="s">
        <v>75</v>
      </c>
      <c r="B55" s="11">
        <v>13</v>
      </c>
      <c r="L55" s="11" t="s">
        <v>75</v>
      </c>
      <c r="M55" s="11">
        <v>13</v>
      </c>
    </row>
    <row r="57" spans="1:20" ht="15" thickBot="1" x14ac:dyDescent="0.35">
      <c r="A57" t="s">
        <v>76</v>
      </c>
      <c r="L57" t="s">
        <v>76</v>
      </c>
    </row>
    <row r="58" spans="1:20" x14ac:dyDescent="0.3">
      <c r="A58" s="12"/>
      <c r="B58" s="12" t="s">
        <v>81</v>
      </c>
      <c r="C58" s="12" t="s">
        <v>82</v>
      </c>
      <c r="D58" s="12" t="s">
        <v>83</v>
      </c>
      <c r="E58" s="12" t="s">
        <v>84</v>
      </c>
      <c r="F58" s="12" t="s">
        <v>85</v>
      </c>
      <c r="L58" s="12"/>
      <c r="M58" s="12" t="s">
        <v>81</v>
      </c>
      <c r="N58" s="12" t="s">
        <v>82</v>
      </c>
      <c r="O58" s="12" t="s">
        <v>83</v>
      </c>
      <c r="P58" s="12" t="s">
        <v>84</v>
      </c>
      <c r="Q58" s="12" t="s">
        <v>85</v>
      </c>
    </row>
    <row r="59" spans="1:20" x14ac:dyDescent="0.3">
      <c r="A59" s="10" t="s">
        <v>77</v>
      </c>
      <c r="B59" s="10">
        <v>1</v>
      </c>
      <c r="C59" s="10">
        <v>3.3980271057400486</v>
      </c>
      <c r="D59" s="10">
        <v>3.3980271057400486</v>
      </c>
      <c r="E59" s="10">
        <v>74.22796911654136</v>
      </c>
      <c r="F59" s="10">
        <v>3.2063820503220134E-6</v>
      </c>
      <c r="L59" s="10" t="s">
        <v>77</v>
      </c>
      <c r="M59" s="10">
        <v>2</v>
      </c>
      <c r="N59" s="10">
        <v>3.6876070515236092</v>
      </c>
      <c r="O59" s="10">
        <v>1.8438035257618046</v>
      </c>
      <c r="P59" s="10">
        <v>86.166737889139242</v>
      </c>
      <c r="Q59" s="10">
        <v>4.9621278015413045E-7</v>
      </c>
    </row>
    <row r="60" spans="1:20" x14ac:dyDescent="0.3">
      <c r="A60" s="10" t="s">
        <v>78</v>
      </c>
      <c r="B60" s="10">
        <v>11</v>
      </c>
      <c r="C60" s="10">
        <v>0.50356083573369592</v>
      </c>
      <c r="D60" s="10">
        <v>4.5778257793972356E-2</v>
      </c>
      <c r="E60" s="10"/>
      <c r="F60" s="10"/>
      <c r="L60" s="10" t="s">
        <v>78</v>
      </c>
      <c r="M60" s="10">
        <v>10</v>
      </c>
      <c r="N60" s="10">
        <v>0.21398088995013514</v>
      </c>
      <c r="O60" s="10">
        <v>2.1398088995013515E-2</v>
      </c>
      <c r="P60" s="10"/>
      <c r="Q60" s="10"/>
    </row>
    <row r="61" spans="1:20" ht="15" thickBot="1" x14ac:dyDescent="0.35">
      <c r="A61" s="11" t="s">
        <v>79</v>
      </c>
      <c r="B61" s="11">
        <v>12</v>
      </c>
      <c r="C61" s="11">
        <v>3.9015879414737444</v>
      </c>
      <c r="D61" s="11"/>
      <c r="E61" s="11"/>
      <c r="F61" s="11"/>
      <c r="L61" s="11" t="s">
        <v>79</v>
      </c>
      <c r="M61" s="11">
        <v>12</v>
      </c>
      <c r="N61" s="11">
        <v>3.9015879414737444</v>
      </c>
      <c r="O61" s="11"/>
      <c r="P61" s="11"/>
      <c r="Q61" s="11"/>
    </row>
    <row r="62" spans="1:20" ht="15" thickBot="1" x14ac:dyDescent="0.35"/>
    <row r="63" spans="1:20" x14ac:dyDescent="0.3">
      <c r="A63" s="12"/>
      <c r="B63" s="12" t="s">
        <v>86</v>
      </c>
      <c r="C63" s="12" t="s">
        <v>69</v>
      </c>
      <c r="D63" s="12" t="s">
        <v>87</v>
      </c>
      <c r="E63" s="12" t="s">
        <v>88</v>
      </c>
      <c r="F63" s="12" t="s">
        <v>89</v>
      </c>
      <c r="G63" s="12" t="s">
        <v>90</v>
      </c>
      <c r="H63" s="12" t="s">
        <v>91</v>
      </c>
      <c r="I63" s="12" t="s">
        <v>92</v>
      </c>
      <c r="L63" s="12"/>
      <c r="M63" s="12" t="s">
        <v>86</v>
      </c>
      <c r="N63" s="12" t="s">
        <v>69</v>
      </c>
      <c r="O63" s="12" t="s">
        <v>87</v>
      </c>
      <c r="P63" s="12" t="s">
        <v>88</v>
      </c>
      <c r="Q63" s="12" t="s">
        <v>89</v>
      </c>
      <c r="R63" s="12" t="s">
        <v>90</v>
      </c>
      <c r="S63" s="12" t="s">
        <v>91</v>
      </c>
      <c r="T63" s="12" t="s">
        <v>92</v>
      </c>
    </row>
    <row r="64" spans="1:20" x14ac:dyDescent="0.3">
      <c r="A64" s="10" t="s">
        <v>80</v>
      </c>
      <c r="B64" s="10">
        <v>-0.20096480960607477</v>
      </c>
      <c r="C64" s="10">
        <v>0.17310891872263157</v>
      </c>
      <c r="D64" s="10">
        <v>-1.1609153999053974</v>
      </c>
      <c r="E64" s="10">
        <v>0.27025020705267344</v>
      </c>
      <c r="F64" s="10">
        <v>-0.58197497079409644</v>
      </c>
      <c r="G64" s="10">
        <v>0.1800453515819469</v>
      </c>
      <c r="H64" s="10">
        <v>-0.58197497079409644</v>
      </c>
      <c r="I64" s="10">
        <v>0.1800453515819469</v>
      </c>
      <c r="L64" s="10" t="s">
        <v>80</v>
      </c>
      <c r="M64" s="10">
        <v>-0.802888718793628</v>
      </c>
      <c r="N64" s="10">
        <v>0.20194022228889844</v>
      </c>
      <c r="O64" s="10">
        <v>-3.9758732049180594</v>
      </c>
      <c r="P64" s="10">
        <v>2.6183665299132236E-3</v>
      </c>
      <c r="Q64" s="10">
        <v>-1.2528395738542673</v>
      </c>
      <c r="R64" s="10">
        <v>-0.3529378637329888</v>
      </c>
      <c r="S64" s="10">
        <v>-1.2528395738542673</v>
      </c>
      <c r="T64" s="10">
        <v>-0.3529378637329888</v>
      </c>
    </row>
    <row r="65" spans="1:20" ht="15" thickBot="1" x14ac:dyDescent="0.35">
      <c r="A65" s="11" t="s">
        <v>49</v>
      </c>
      <c r="B65" s="11">
        <v>9.3451321337312567</v>
      </c>
      <c r="C65" s="11">
        <v>1.0846800618186685</v>
      </c>
      <c r="D65" s="11">
        <v>8.6155655134495603</v>
      </c>
      <c r="E65" s="11">
        <v>3.2063820503220023E-6</v>
      </c>
      <c r="F65" s="11">
        <v>6.9577674142210864</v>
      </c>
      <c r="G65" s="11">
        <v>11.732496853241427</v>
      </c>
      <c r="H65" s="11">
        <v>6.9577674142210864</v>
      </c>
      <c r="I65" s="11">
        <v>11.732496853241427</v>
      </c>
      <c r="L65" s="10" t="s">
        <v>49</v>
      </c>
      <c r="M65" s="10">
        <v>11.418261886450393</v>
      </c>
      <c r="N65" s="10">
        <v>0.93141256076119583</v>
      </c>
      <c r="O65" s="10">
        <v>12.259080849327212</v>
      </c>
      <c r="P65" s="10">
        <v>2.3891471094949302E-7</v>
      </c>
      <c r="Q65" s="10">
        <v>9.3429453725903464</v>
      </c>
      <c r="R65" s="10">
        <v>13.49357840031044</v>
      </c>
      <c r="S65" s="10">
        <v>9.3429453725903464</v>
      </c>
      <c r="T65" s="10">
        <v>13.49357840031044</v>
      </c>
    </row>
    <row r="66" spans="1:20" ht="15" thickBot="1" x14ac:dyDescent="0.35">
      <c r="L66" s="11" t="s">
        <v>138</v>
      </c>
      <c r="M66" s="11">
        <v>9.8194894650516507E-3</v>
      </c>
      <c r="N66" s="11">
        <v>2.6692678892209672E-3</v>
      </c>
      <c r="O66" s="11">
        <v>3.6787201107482299</v>
      </c>
      <c r="P66" s="11">
        <v>4.2553649079439815E-3</v>
      </c>
      <c r="Q66" s="11">
        <v>3.8719899747190192E-3</v>
      </c>
      <c r="R66" s="11">
        <v>1.5766988955384281E-2</v>
      </c>
      <c r="S66" s="11">
        <v>3.8719899747190192E-3</v>
      </c>
      <c r="T66" s="11">
        <v>1.5766988955384281E-2</v>
      </c>
    </row>
    <row r="69" spans="1:20" x14ac:dyDescent="0.3">
      <c r="A69" t="s">
        <v>123</v>
      </c>
      <c r="I69">
        <f>((C60-N60)/(M59-B59))/(N60/(B61+1-(M59+1)))</f>
        <v>13.532981653223462</v>
      </c>
      <c r="K69" t="s">
        <v>292</v>
      </c>
    </row>
    <row r="70" spans="1:20" x14ac:dyDescent="0.3">
      <c r="A70" t="s">
        <v>124</v>
      </c>
      <c r="I70">
        <f>_xlfn.F.DIST.RT(I69,B60-M60,M60)</f>
        <v>4.2553649079439884E-3</v>
      </c>
    </row>
    <row r="71" spans="1:20" x14ac:dyDescent="0.3">
      <c r="A71" t="s">
        <v>310</v>
      </c>
    </row>
    <row r="72" spans="1:20" x14ac:dyDescent="0.3">
      <c r="A72" t="s">
        <v>315</v>
      </c>
    </row>
    <row r="75" spans="1:20" x14ac:dyDescent="0.3">
      <c r="A75" t="s">
        <v>127</v>
      </c>
      <c r="L75" t="s">
        <v>146</v>
      </c>
    </row>
    <row r="76" spans="1:20" x14ac:dyDescent="0.3">
      <c r="A76" t="s">
        <v>70</v>
      </c>
      <c r="L76" t="s">
        <v>70</v>
      </c>
    </row>
    <row r="77" spans="1:20" ht="15" thickBot="1" x14ac:dyDescent="0.35"/>
    <row r="78" spans="1:20" x14ac:dyDescent="0.3">
      <c r="A78" s="13" t="s">
        <v>71</v>
      </c>
      <c r="B78" s="13"/>
      <c r="L78" s="13" t="s">
        <v>71</v>
      </c>
      <c r="M78" s="13"/>
    </row>
    <row r="79" spans="1:20" x14ac:dyDescent="0.3">
      <c r="A79" s="10" t="s">
        <v>72</v>
      </c>
      <c r="B79" s="10">
        <v>0.93323865539541628</v>
      </c>
      <c r="L79" s="10" t="s">
        <v>72</v>
      </c>
      <c r="M79" s="10">
        <v>0.97942508076624391</v>
      </c>
    </row>
    <row r="80" spans="1:20" x14ac:dyDescent="0.3">
      <c r="A80" s="10" t="s">
        <v>73</v>
      </c>
      <c r="B80" s="10">
        <v>0.87093438792424449</v>
      </c>
      <c r="L80" s="10" t="s">
        <v>73</v>
      </c>
      <c r="M80" s="10">
        <v>0.95927348883396346</v>
      </c>
    </row>
    <row r="81" spans="1:20" x14ac:dyDescent="0.3">
      <c r="A81" s="10" t="s">
        <v>74</v>
      </c>
      <c r="B81" s="10">
        <v>0.8592011504628122</v>
      </c>
      <c r="L81" s="10" t="s">
        <v>74</v>
      </c>
      <c r="M81" s="10">
        <v>0.94569798511195124</v>
      </c>
    </row>
    <row r="82" spans="1:20" x14ac:dyDescent="0.3">
      <c r="A82" s="10" t="s">
        <v>69</v>
      </c>
      <c r="B82" s="10">
        <v>0.21395854223183602</v>
      </c>
      <c r="L82" s="10" t="s">
        <v>69</v>
      </c>
      <c r="M82" s="10">
        <v>0.1328734004246582</v>
      </c>
    </row>
    <row r="83" spans="1:20" ht="15" thickBot="1" x14ac:dyDescent="0.35">
      <c r="A83" s="11" t="s">
        <v>75</v>
      </c>
      <c r="B83" s="11">
        <v>13</v>
      </c>
      <c r="L83" s="11" t="s">
        <v>75</v>
      </c>
      <c r="M83" s="11">
        <v>13</v>
      </c>
    </row>
    <row r="85" spans="1:20" ht="15" thickBot="1" x14ac:dyDescent="0.35">
      <c r="A85" t="s">
        <v>76</v>
      </c>
      <c r="L85" t="s">
        <v>76</v>
      </c>
    </row>
    <row r="86" spans="1:20" x14ac:dyDescent="0.3">
      <c r="A86" s="12"/>
      <c r="B86" s="12" t="s">
        <v>81</v>
      </c>
      <c r="C86" s="12" t="s">
        <v>82</v>
      </c>
      <c r="D86" s="12" t="s">
        <v>83</v>
      </c>
      <c r="E86" s="12" t="s">
        <v>84</v>
      </c>
      <c r="F86" s="12" t="s">
        <v>85</v>
      </c>
      <c r="L86" s="12"/>
      <c r="M86" s="12" t="s">
        <v>81</v>
      </c>
      <c r="N86" s="12" t="s">
        <v>82</v>
      </c>
      <c r="O86" s="12" t="s">
        <v>83</v>
      </c>
      <c r="P86" s="12" t="s">
        <v>84</v>
      </c>
      <c r="Q86" s="12" t="s">
        <v>85</v>
      </c>
    </row>
    <row r="87" spans="1:20" x14ac:dyDescent="0.3">
      <c r="A87" s="10" t="s">
        <v>77</v>
      </c>
      <c r="B87" s="10">
        <v>1</v>
      </c>
      <c r="C87" s="10">
        <v>3.3980271057400486</v>
      </c>
      <c r="D87" s="10">
        <v>3.3980271057400486</v>
      </c>
      <c r="E87" s="10">
        <v>74.22796911654136</v>
      </c>
      <c r="F87" s="10">
        <v>3.2063820503220134E-6</v>
      </c>
      <c r="L87" s="10" t="s">
        <v>77</v>
      </c>
      <c r="M87" s="10">
        <v>3</v>
      </c>
      <c r="N87" s="10">
        <v>3.7426898766100405</v>
      </c>
      <c r="O87" s="10">
        <v>1.2475632922033468</v>
      </c>
      <c r="P87" s="10">
        <v>70.662091696718164</v>
      </c>
      <c r="Q87" s="10">
        <v>1.4121010098910989E-6</v>
      </c>
    </row>
    <row r="88" spans="1:20" x14ac:dyDescent="0.3">
      <c r="A88" s="10" t="s">
        <v>78</v>
      </c>
      <c r="B88" s="10">
        <v>11</v>
      </c>
      <c r="C88" s="10">
        <v>0.50356083573369592</v>
      </c>
      <c r="D88" s="10">
        <v>4.5778257793972356E-2</v>
      </c>
      <c r="E88" s="10"/>
      <c r="F88" s="10"/>
      <c r="L88" s="10" t="s">
        <v>78</v>
      </c>
      <c r="M88" s="10">
        <v>9</v>
      </c>
      <c r="N88" s="10">
        <v>0.158898064863704</v>
      </c>
      <c r="O88" s="10">
        <v>1.7655340540411554E-2</v>
      </c>
      <c r="P88" s="10"/>
      <c r="Q88" s="10"/>
    </row>
    <row r="89" spans="1:20" ht="15" thickBot="1" x14ac:dyDescent="0.35">
      <c r="A89" s="11" t="s">
        <v>79</v>
      </c>
      <c r="B89" s="11">
        <v>12</v>
      </c>
      <c r="C89" s="11">
        <v>3.9015879414737444</v>
      </c>
      <c r="D89" s="11"/>
      <c r="E89" s="11"/>
      <c r="F89" s="11"/>
      <c r="L89" s="11" t="s">
        <v>79</v>
      </c>
      <c r="M89" s="11">
        <v>12</v>
      </c>
      <c r="N89" s="11">
        <v>3.9015879414737444</v>
      </c>
      <c r="O89" s="11"/>
      <c r="P89" s="11"/>
      <c r="Q89" s="11"/>
    </row>
    <row r="90" spans="1:20" ht="15" thickBot="1" x14ac:dyDescent="0.35"/>
    <row r="91" spans="1:20" x14ac:dyDescent="0.3">
      <c r="A91" s="12"/>
      <c r="B91" s="12" t="s">
        <v>86</v>
      </c>
      <c r="C91" s="12" t="s">
        <v>69</v>
      </c>
      <c r="D91" s="12" t="s">
        <v>87</v>
      </c>
      <c r="E91" s="12" t="s">
        <v>88</v>
      </c>
      <c r="F91" s="12" t="s">
        <v>89</v>
      </c>
      <c r="G91" s="12" t="s">
        <v>90</v>
      </c>
      <c r="H91" s="12" t="s">
        <v>91</v>
      </c>
      <c r="I91" s="12" t="s">
        <v>92</v>
      </c>
      <c r="L91" s="12"/>
      <c r="M91" s="12" t="s">
        <v>86</v>
      </c>
      <c r="N91" s="12" t="s">
        <v>69</v>
      </c>
      <c r="O91" s="12" t="s">
        <v>87</v>
      </c>
      <c r="P91" s="12" t="s">
        <v>88</v>
      </c>
      <c r="Q91" s="12" t="s">
        <v>89</v>
      </c>
      <c r="R91" s="12" t="s">
        <v>90</v>
      </c>
      <c r="S91" s="12" t="s">
        <v>91</v>
      </c>
      <c r="T91" s="12" t="s">
        <v>92</v>
      </c>
    </row>
    <row r="92" spans="1:20" x14ac:dyDescent="0.3">
      <c r="A92" s="10" t="s">
        <v>80</v>
      </c>
      <c r="B92" s="10">
        <v>-0.20096480960607477</v>
      </c>
      <c r="C92" s="10">
        <v>0.17310891872263157</v>
      </c>
      <c r="D92" s="10">
        <v>-1.1609153999053974</v>
      </c>
      <c r="E92" s="10">
        <v>0.27025020705267344</v>
      </c>
      <c r="F92" s="10">
        <v>-0.58197497079409644</v>
      </c>
      <c r="G92" s="10">
        <v>0.1800453515819469</v>
      </c>
      <c r="H92" s="10">
        <v>-0.58197497079409644</v>
      </c>
      <c r="I92" s="10">
        <v>0.1800453515819469</v>
      </c>
      <c r="L92" s="10" t="s">
        <v>80</v>
      </c>
      <c r="M92" s="10">
        <v>-0.53031108618551559</v>
      </c>
      <c r="N92" s="10">
        <v>0.23971122181469443</v>
      </c>
      <c r="O92" s="10">
        <v>-2.2122914487310301</v>
      </c>
      <c r="P92" s="10">
        <v>5.4242078505996105E-2</v>
      </c>
      <c r="Q92" s="10">
        <v>-1.0725755436167361</v>
      </c>
      <c r="R92" s="10">
        <v>1.1953371245704836E-2</v>
      </c>
      <c r="S92" s="10">
        <v>-1.0725755436167361</v>
      </c>
      <c r="T92" s="10">
        <v>1.1953371245704836E-2</v>
      </c>
    </row>
    <row r="93" spans="1:20" ht="15" thickBot="1" x14ac:dyDescent="0.35">
      <c r="A93" s="11" t="s">
        <v>49</v>
      </c>
      <c r="B93" s="11">
        <v>9.3451321337312567</v>
      </c>
      <c r="C93" s="11">
        <v>1.0846800618186685</v>
      </c>
      <c r="D93" s="11">
        <v>8.6155655134495603</v>
      </c>
      <c r="E93" s="11">
        <v>3.2063820503220023E-6</v>
      </c>
      <c r="F93" s="11">
        <v>6.9577674142210864</v>
      </c>
      <c r="G93" s="11">
        <v>11.732496853241427</v>
      </c>
      <c r="H93" s="11">
        <v>6.9577674142210864</v>
      </c>
      <c r="I93" s="11">
        <v>11.732496853241427</v>
      </c>
      <c r="L93" s="10" t="s">
        <v>49</v>
      </c>
      <c r="M93" s="10">
        <v>9.5642106321821636</v>
      </c>
      <c r="N93" s="10">
        <v>1.3481806101334324</v>
      </c>
      <c r="O93" s="10">
        <v>7.0941612424136355</v>
      </c>
      <c r="P93" s="10">
        <v>5.7031891866749076E-5</v>
      </c>
      <c r="Q93" s="10">
        <v>6.5144142082231653</v>
      </c>
      <c r="R93" s="10">
        <v>12.614007056141162</v>
      </c>
      <c r="S93" s="10">
        <v>6.5144142082231653</v>
      </c>
      <c r="T93" s="10">
        <v>12.614007056141162</v>
      </c>
    </row>
    <row r="94" spans="1:20" x14ac:dyDescent="0.3">
      <c r="L94" s="10" t="s">
        <v>138</v>
      </c>
      <c r="M94" s="10">
        <v>3.5309548682788122E-4</v>
      </c>
      <c r="N94" s="10">
        <v>5.8823214830174067E-3</v>
      </c>
      <c r="O94" s="10">
        <v>6.0026553775968855E-2</v>
      </c>
      <c r="P94" s="10">
        <v>0.95344626499206875</v>
      </c>
      <c r="Q94" s="10">
        <v>-1.2953640189861707E-2</v>
      </c>
      <c r="R94" s="10">
        <v>1.3659831163517469E-2</v>
      </c>
      <c r="S94" s="10">
        <v>-1.2953640189861707E-2</v>
      </c>
      <c r="T94" s="10">
        <v>1.3659831163517469E-2</v>
      </c>
    </row>
    <row r="95" spans="1:20" ht="15" thickBot="1" x14ac:dyDescent="0.35">
      <c r="L95" s="11" t="s">
        <v>175</v>
      </c>
      <c r="M95" s="11">
        <v>7.501925815611464E-2</v>
      </c>
      <c r="N95" s="11">
        <v>4.2471999916611602E-2</v>
      </c>
      <c r="O95" s="11">
        <v>1.7663227138680886</v>
      </c>
      <c r="P95" s="11">
        <v>0.11114917660296247</v>
      </c>
      <c r="Q95" s="11">
        <v>-2.1059080673613076E-2</v>
      </c>
      <c r="R95" s="11">
        <v>0.17109759698584237</v>
      </c>
      <c r="S95" s="11">
        <v>-2.1059080673613076E-2</v>
      </c>
      <c r="T95" s="11">
        <v>0.17109759698584237</v>
      </c>
    </row>
    <row r="98" spans="1:13" x14ac:dyDescent="0.3">
      <c r="A98" t="s">
        <v>123</v>
      </c>
      <c r="I98">
        <f>((C88-N88)/(M87-B87))/(N88/(B89+1-(M87+1)))</f>
        <v>9.7608644274260392</v>
      </c>
      <c r="K98" t="s">
        <v>292</v>
      </c>
    </row>
    <row r="99" spans="1:13" x14ac:dyDescent="0.3">
      <c r="A99" t="s">
        <v>124</v>
      </c>
      <c r="I99">
        <f>_xlfn.F.DIST.RT(I98,B88-M88,M88)</f>
        <v>5.5692919070326578E-3</v>
      </c>
    </row>
    <row r="100" spans="1:13" x14ac:dyDescent="0.3">
      <c r="A100" t="s">
        <v>310</v>
      </c>
    </row>
    <row r="101" spans="1:13" x14ac:dyDescent="0.3">
      <c r="A101" t="s">
        <v>313</v>
      </c>
    </row>
    <row r="107" spans="1:13" x14ac:dyDescent="0.3">
      <c r="A107" t="s">
        <v>148</v>
      </c>
      <c r="L107" t="s">
        <v>146</v>
      </c>
    </row>
    <row r="108" spans="1:13" x14ac:dyDescent="0.3">
      <c r="A108" t="s">
        <v>70</v>
      </c>
      <c r="L108" t="s">
        <v>70</v>
      </c>
    </row>
    <row r="109" spans="1:13" ht="15" thickBot="1" x14ac:dyDescent="0.35"/>
    <row r="110" spans="1:13" x14ac:dyDescent="0.3">
      <c r="A110" s="13" t="s">
        <v>71</v>
      </c>
      <c r="B110" s="13"/>
      <c r="L110" s="13" t="s">
        <v>71</v>
      </c>
      <c r="M110" s="13"/>
    </row>
    <row r="111" spans="1:13" x14ac:dyDescent="0.3">
      <c r="A111" s="10" t="s">
        <v>72</v>
      </c>
      <c r="B111" s="10">
        <v>0.9721910490739144</v>
      </c>
      <c r="L111" s="10" t="s">
        <v>72</v>
      </c>
      <c r="M111" s="10">
        <v>0.97942508076624391</v>
      </c>
    </row>
    <row r="112" spans="1:13" x14ac:dyDescent="0.3">
      <c r="A112" s="10" t="s">
        <v>73</v>
      </c>
      <c r="B112" s="10">
        <v>0.94515543589943829</v>
      </c>
      <c r="L112" s="10" t="s">
        <v>73</v>
      </c>
      <c r="M112" s="10">
        <v>0.95927348883396346</v>
      </c>
    </row>
    <row r="113" spans="1:20" x14ac:dyDescent="0.3">
      <c r="A113" s="10" t="s">
        <v>74</v>
      </c>
      <c r="B113" s="10">
        <v>0.93418652307932604</v>
      </c>
      <c r="L113" s="10" t="s">
        <v>74</v>
      </c>
      <c r="M113" s="10">
        <v>0.94569798511195124</v>
      </c>
    </row>
    <row r="114" spans="1:20" x14ac:dyDescent="0.3">
      <c r="A114" s="10" t="s">
        <v>69</v>
      </c>
      <c r="B114" s="10">
        <v>0.14628085655687662</v>
      </c>
      <c r="L114" s="10" t="s">
        <v>69</v>
      </c>
      <c r="M114" s="10">
        <v>0.1328734004246582</v>
      </c>
    </row>
    <row r="115" spans="1:20" ht="15" thickBot="1" x14ac:dyDescent="0.35">
      <c r="A115" s="11" t="s">
        <v>75</v>
      </c>
      <c r="B115" s="11">
        <v>13</v>
      </c>
      <c r="L115" s="11" t="s">
        <v>75</v>
      </c>
      <c r="M115" s="11">
        <v>13</v>
      </c>
    </row>
    <row r="117" spans="1:20" ht="15" thickBot="1" x14ac:dyDescent="0.35">
      <c r="A117" t="s">
        <v>76</v>
      </c>
      <c r="L117" t="s">
        <v>76</v>
      </c>
    </row>
    <row r="118" spans="1:20" x14ac:dyDescent="0.3">
      <c r="A118" s="12"/>
      <c r="B118" s="12" t="s">
        <v>81</v>
      </c>
      <c r="C118" s="12" t="s">
        <v>82</v>
      </c>
      <c r="D118" s="12" t="s">
        <v>83</v>
      </c>
      <c r="E118" s="12" t="s">
        <v>84</v>
      </c>
      <c r="F118" s="12" t="s">
        <v>85</v>
      </c>
      <c r="L118" s="12"/>
      <c r="M118" s="12" t="s">
        <v>81</v>
      </c>
      <c r="N118" s="12" t="s">
        <v>82</v>
      </c>
      <c r="O118" s="12" t="s">
        <v>83</v>
      </c>
      <c r="P118" s="12" t="s">
        <v>84</v>
      </c>
      <c r="Q118" s="12" t="s">
        <v>85</v>
      </c>
    </row>
    <row r="119" spans="1:20" x14ac:dyDescent="0.3">
      <c r="A119" s="10" t="s">
        <v>77</v>
      </c>
      <c r="B119" s="10">
        <v>2</v>
      </c>
      <c r="C119" s="10">
        <v>3.6876070515236092</v>
      </c>
      <c r="D119" s="10">
        <v>1.8438035257618046</v>
      </c>
      <c r="E119" s="10">
        <v>86.166737889139242</v>
      </c>
      <c r="F119" s="10">
        <v>4.9621278015413045E-7</v>
      </c>
      <c r="L119" s="10" t="s">
        <v>77</v>
      </c>
      <c r="M119" s="10">
        <v>3</v>
      </c>
      <c r="N119" s="10">
        <v>3.7426898766100405</v>
      </c>
      <c r="O119" s="10">
        <v>1.2475632922033468</v>
      </c>
      <c r="P119" s="10">
        <v>70.662091696718164</v>
      </c>
      <c r="Q119" s="10">
        <v>1.4121010098910989E-6</v>
      </c>
    </row>
    <row r="120" spans="1:20" x14ac:dyDescent="0.3">
      <c r="A120" s="10" t="s">
        <v>78</v>
      </c>
      <c r="B120" s="10">
        <v>10</v>
      </c>
      <c r="C120" s="10">
        <v>0.21398088995013514</v>
      </c>
      <c r="D120" s="10">
        <v>2.1398088995013515E-2</v>
      </c>
      <c r="E120" s="10"/>
      <c r="F120" s="10"/>
      <c r="L120" s="10" t="s">
        <v>78</v>
      </c>
      <c r="M120" s="10">
        <v>9</v>
      </c>
      <c r="N120" s="10">
        <v>0.158898064863704</v>
      </c>
      <c r="O120" s="10">
        <v>1.7655340540411554E-2</v>
      </c>
      <c r="P120" s="10"/>
      <c r="Q120" s="10"/>
    </row>
    <row r="121" spans="1:20" ht="15" thickBot="1" x14ac:dyDescent="0.35">
      <c r="A121" s="11" t="s">
        <v>79</v>
      </c>
      <c r="B121" s="11">
        <v>12</v>
      </c>
      <c r="C121" s="11">
        <v>3.9015879414737444</v>
      </c>
      <c r="D121" s="11"/>
      <c r="E121" s="11"/>
      <c r="F121" s="11"/>
      <c r="L121" s="11" t="s">
        <v>79</v>
      </c>
      <c r="M121" s="11">
        <v>12</v>
      </c>
      <c r="N121" s="11">
        <v>3.9015879414737444</v>
      </c>
      <c r="O121" s="11"/>
      <c r="P121" s="11"/>
      <c r="Q121" s="11"/>
    </row>
    <row r="122" spans="1:20" ht="15" thickBot="1" x14ac:dyDescent="0.35"/>
    <row r="123" spans="1:20" x14ac:dyDescent="0.3">
      <c r="A123" s="12"/>
      <c r="B123" s="12" t="s">
        <v>86</v>
      </c>
      <c r="C123" s="12" t="s">
        <v>69</v>
      </c>
      <c r="D123" s="12" t="s">
        <v>87</v>
      </c>
      <c r="E123" s="12" t="s">
        <v>88</v>
      </c>
      <c r="F123" s="12" t="s">
        <v>89</v>
      </c>
      <c r="G123" s="12" t="s">
        <v>90</v>
      </c>
      <c r="H123" s="12" t="s">
        <v>91</v>
      </c>
      <c r="I123" s="12" t="s">
        <v>92</v>
      </c>
      <c r="L123" s="12"/>
      <c r="M123" s="12" t="s">
        <v>86</v>
      </c>
      <c r="N123" s="12" t="s">
        <v>69</v>
      </c>
      <c r="O123" s="12" t="s">
        <v>87</v>
      </c>
      <c r="P123" s="12" t="s">
        <v>88</v>
      </c>
      <c r="Q123" s="12" t="s">
        <v>89</v>
      </c>
      <c r="R123" s="12" t="s">
        <v>90</v>
      </c>
      <c r="S123" s="12" t="s">
        <v>91</v>
      </c>
      <c r="T123" s="12" t="s">
        <v>92</v>
      </c>
    </row>
    <row r="124" spans="1:20" x14ac:dyDescent="0.3">
      <c r="A124" s="10" t="s">
        <v>80</v>
      </c>
      <c r="B124" s="10">
        <v>-0.802888718793628</v>
      </c>
      <c r="C124" s="10">
        <v>0.20194022228889844</v>
      </c>
      <c r="D124" s="10">
        <v>-3.9758732049180594</v>
      </c>
      <c r="E124" s="10">
        <v>2.6183665299132236E-3</v>
      </c>
      <c r="F124" s="10">
        <v>-1.2528395738542673</v>
      </c>
      <c r="G124" s="10">
        <v>-0.3529378637329888</v>
      </c>
      <c r="H124" s="10">
        <v>-1.2528395738542673</v>
      </c>
      <c r="I124" s="10">
        <v>-0.3529378637329888</v>
      </c>
      <c r="L124" s="10" t="s">
        <v>80</v>
      </c>
      <c r="M124" s="10">
        <v>-0.53031108618551559</v>
      </c>
      <c r="N124" s="10">
        <v>0.23971122181469443</v>
      </c>
      <c r="O124" s="10">
        <v>-2.2122914487310301</v>
      </c>
      <c r="P124" s="10">
        <v>5.4242078505996105E-2</v>
      </c>
      <c r="Q124" s="10">
        <v>-1.0725755436167361</v>
      </c>
      <c r="R124" s="10">
        <v>1.1953371245704836E-2</v>
      </c>
      <c r="S124" s="10">
        <v>-1.0725755436167361</v>
      </c>
      <c r="T124" s="10">
        <v>1.1953371245704836E-2</v>
      </c>
    </row>
    <row r="125" spans="1:20" x14ac:dyDescent="0.3">
      <c r="A125" s="10" t="s">
        <v>49</v>
      </c>
      <c r="B125" s="10">
        <v>11.418261886450393</v>
      </c>
      <c r="C125" s="10">
        <v>0.93141256076119583</v>
      </c>
      <c r="D125" s="10">
        <v>12.259080849327212</v>
      </c>
      <c r="E125" s="10">
        <v>2.3891471094949302E-7</v>
      </c>
      <c r="F125" s="10">
        <v>9.3429453725903464</v>
      </c>
      <c r="G125" s="10">
        <v>13.49357840031044</v>
      </c>
      <c r="H125" s="10">
        <v>9.3429453725903464</v>
      </c>
      <c r="I125" s="10">
        <v>13.49357840031044</v>
      </c>
      <c r="L125" s="10" t="s">
        <v>49</v>
      </c>
      <c r="M125" s="10">
        <v>9.5642106321821636</v>
      </c>
      <c r="N125" s="10">
        <v>1.3481806101334324</v>
      </c>
      <c r="O125" s="10">
        <v>7.0941612424136355</v>
      </c>
      <c r="P125" s="10">
        <v>5.7031891866749076E-5</v>
      </c>
      <c r="Q125" s="10">
        <v>6.5144142082231653</v>
      </c>
      <c r="R125" s="10">
        <v>12.614007056141162</v>
      </c>
      <c r="S125" s="10">
        <v>6.5144142082231653</v>
      </c>
      <c r="T125" s="10">
        <v>12.614007056141162</v>
      </c>
    </row>
    <row r="126" spans="1:20" ht="15" thickBot="1" x14ac:dyDescent="0.35">
      <c r="A126" s="11" t="s">
        <v>138</v>
      </c>
      <c r="B126" s="11">
        <v>9.8194894650516507E-3</v>
      </c>
      <c r="C126" s="11">
        <v>2.6692678892209672E-3</v>
      </c>
      <c r="D126" s="11">
        <v>3.6787201107482299</v>
      </c>
      <c r="E126" s="11">
        <v>4.2553649079439815E-3</v>
      </c>
      <c r="F126" s="11">
        <v>3.8719899747190192E-3</v>
      </c>
      <c r="G126" s="11">
        <v>1.5766988955384281E-2</v>
      </c>
      <c r="H126" s="11">
        <v>3.8719899747190192E-3</v>
      </c>
      <c r="I126" s="11">
        <v>1.5766988955384281E-2</v>
      </c>
      <c r="L126" s="10" t="s">
        <v>138</v>
      </c>
      <c r="M126" s="10">
        <v>3.5309548682788122E-4</v>
      </c>
      <c r="N126" s="10">
        <v>5.8823214830174067E-3</v>
      </c>
      <c r="O126" s="10">
        <v>6.0026553775968855E-2</v>
      </c>
      <c r="P126" s="10">
        <v>0.95344626499206875</v>
      </c>
      <c r="Q126" s="10">
        <v>-1.2953640189861707E-2</v>
      </c>
      <c r="R126" s="10">
        <v>1.3659831163517469E-2</v>
      </c>
      <c r="S126" s="10">
        <v>-1.2953640189861707E-2</v>
      </c>
      <c r="T126" s="10">
        <v>1.3659831163517469E-2</v>
      </c>
    </row>
    <row r="127" spans="1:20" ht="15" thickBot="1" x14ac:dyDescent="0.35">
      <c r="L127" s="11" t="s">
        <v>175</v>
      </c>
      <c r="M127" s="11">
        <v>7.501925815611464E-2</v>
      </c>
      <c r="N127" s="11">
        <v>4.2471999916611602E-2</v>
      </c>
      <c r="O127" s="11">
        <v>1.7663227138680886</v>
      </c>
      <c r="P127" s="11">
        <v>0.11114917660296247</v>
      </c>
      <c r="Q127" s="11">
        <v>-2.1059080673613076E-2</v>
      </c>
      <c r="R127" s="11">
        <v>0.17109759698584237</v>
      </c>
      <c r="S127" s="11">
        <v>-2.1059080673613076E-2</v>
      </c>
      <c r="T127" s="11">
        <v>0.17109759698584237</v>
      </c>
    </row>
    <row r="130" spans="1:21" x14ac:dyDescent="0.3">
      <c r="A130" t="s">
        <v>123</v>
      </c>
      <c r="I130">
        <f>((C120-N120)/(M119-B119))/(N120/(B121+1-(M119+1)))</f>
        <v>3.1198959295263267</v>
      </c>
      <c r="K130" t="s">
        <v>292</v>
      </c>
    </row>
    <row r="131" spans="1:21" x14ac:dyDescent="0.3">
      <c r="A131" t="s">
        <v>124</v>
      </c>
      <c r="I131">
        <f>_xlfn.F.DIST.RT(I130,B120-M120,M120)</f>
        <v>0.11114917660296264</v>
      </c>
    </row>
    <row r="132" spans="1:21" x14ac:dyDescent="0.3">
      <c r="A132" t="s">
        <v>125</v>
      </c>
    </row>
    <row r="133" spans="1:21" x14ac:dyDescent="0.3">
      <c r="A133" t="s">
        <v>307</v>
      </c>
    </row>
    <row r="136" spans="1:21" x14ac:dyDescent="0.3">
      <c r="A136" t="s">
        <v>127</v>
      </c>
      <c r="L136" t="s">
        <v>149</v>
      </c>
    </row>
    <row r="137" spans="1:21" x14ac:dyDescent="0.3">
      <c r="A137" t="s">
        <v>70</v>
      </c>
      <c r="L137" t="s">
        <v>70</v>
      </c>
      <c r="U137" s="7"/>
    </row>
    <row r="138" spans="1:21" ht="15" thickBot="1" x14ac:dyDescent="0.35">
      <c r="U138" s="7"/>
    </row>
    <row r="139" spans="1:21" x14ac:dyDescent="0.3">
      <c r="A139" s="13" t="s">
        <v>71</v>
      </c>
      <c r="B139" s="13"/>
      <c r="L139" s="13" t="s">
        <v>71</v>
      </c>
      <c r="M139" s="13"/>
      <c r="U139" s="7"/>
    </row>
    <row r="140" spans="1:21" x14ac:dyDescent="0.3">
      <c r="A140" s="10" t="s">
        <v>72</v>
      </c>
      <c r="B140" s="10">
        <v>0.93323865539541628</v>
      </c>
      <c r="L140" s="10" t="s">
        <v>72</v>
      </c>
      <c r="M140" s="10">
        <v>0.97941675695644037</v>
      </c>
      <c r="U140" s="7"/>
    </row>
    <row r="141" spans="1:21" x14ac:dyDescent="0.3">
      <c r="A141" s="10" t="s">
        <v>73</v>
      </c>
      <c r="B141" s="10">
        <v>0.87093438792424449</v>
      </c>
      <c r="L141" s="10" t="s">
        <v>73</v>
      </c>
      <c r="M141" s="10">
        <v>0.95925718380707092</v>
      </c>
      <c r="U141" s="7"/>
    </row>
    <row r="142" spans="1:21" x14ac:dyDescent="0.3">
      <c r="A142" s="10" t="s">
        <v>74</v>
      </c>
      <c r="B142" s="10">
        <v>0.8592011504628122</v>
      </c>
      <c r="L142" s="10" t="s">
        <v>74</v>
      </c>
      <c r="M142" s="10">
        <v>0.95110862056848511</v>
      </c>
      <c r="U142" s="7"/>
    </row>
    <row r="143" spans="1:21" x14ac:dyDescent="0.3">
      <c r="A143" s="10" t="s">
        <v>69</v>
      </c>
      <c r="B143" s="10">
        <v>0.21395854223183602</v>
      </c>
      <c r="L143" s="10" t="s">
        <v>69</v>
      </c>
      <c r="M143" s="10">
        <v>0.12608000648794923</v>
      </c>
      <c r="U143" s="7"/>
    </row>
    <row r="144" spans="1:21" ht="15" thickBot="1" x14ac:dyDescent="0.35">
      <c r="A144" s="11" t="s">
        <v>75</v>
      </c>
      <c r="B144" s="11">
        <v>13</v>
      </c>
      <c r="L144" s="11" t="s">
        <v>75</v>
      </c>
      <c r="M144" s="11">
        <v>13</v>
      </c>
      <c r="U144" s="7"/>
    </row>
    <row r="145" spans="1:21" x14ac:dyDescent="0.3">
      <c r="U145" s="7"/>
    </row>
    <row r="146" spans="1:21" ht="15" thickBot="1" x14ac:dyDescent="0.35">
      <c r="A146" t="s">
        <v>76</v>
      </c>
      <c r="L146" t="s">
        <v>76</v>
      </c>
      <c r="U146" s="7"/>
    </row>
    <row r="147" spans="1:21" x14ac:dyDescent="0.3">
      <c r="A147" s="12"/>
      <c r="B147" s="12" t="s">
        <v>81</v>
      </c>
      <c r="C147" s="12" t="s">
        <v>82</v>
      </c>
      <c r="D147" s="12" t="s">
        <v>83</v>
      </c>
      <c r="E147" s="12" t="s">
        <v>84</v>
      </c>
      <c r="F147" s="12" t="s">
        <v>85</v>
      </c>
      <c r="L147" s="12"/>
      <c r="M147" s="12" t="s">
        <v>81</v>
      </c>
      <c r="N147" s="12" t="s">
        <v>82</v>
      </c>
      <c r="O147" s="12" t="s">
        <v>83</v>
      </c>
      <c r="P147" s="12" t="s">
        <v>84</v>
      </c>
      <c r="Q147" s="12" t="s">
        <v>85</v>
      </c>
      <c r="U147" s="7"/>
    </row>
    <row r="148" spans="1:21" x14ac:dyDescent="0.3">
      <c r="A148" s="10" t="s">
        <v>77</v>
      </c>
      <c r="B148" s="10">
        <v>1</v>
      </c>
      <c r="C148" s="10">
        <v>3.3980271057400486</v>
      </c>
      <c r="D148" s="10">
        <v>3.3980271057400486</v>
      </c>
      <c r="E148" s="10">
        <v>74.22796911654136</v>
      </c>
      <c r="F148" s="10">
        <v>3.2063820503220134E-6</v>
      </c>
      <c r="L148" s="10" t="s">
        <v>77</v>
      </c>
      <c r="M148" s="10">
        <v>2</v>
      </c>
      <c r="N148" s="10">
        <v>3.7426262611137311</v>
      </c>
      <c r="O148" s="10">
        <v>1.8713131305568655</v>
      </c>
      <c r="P148" s="10">
        <v>117.72102096044487</v>
      </c>
      <c r="Q148" s="10">
        <v>1.1226780284985304E-7</v>
      </c>
      <c r="U148" s="7"/>
    </row>
    <row r="149" spans="1:21" x14ac:dyDescent="0.3">
      <c r="A149" s="10" t="s">
        <v>78</v>
      </c>
      <c r="B149" s="10">
        <v>11</v>
      </c>
      <c r="C149" s="10">
        <v>0.50356083573369592</v>
      </c>
      <c r="D149" s="10">
        <v>4.5778257793972356E-2</v>
      </c>
      <c r="E149" s="10"/>
      <c r="F149" s="10"/>
      <c r="L149" s="10" t="s">
        <v>78</v>
      </c>
      <c r="M149" s="10">
        <v>10</v>
      </c>
      <c r="N149" s="10">
        <v>0.15896168036001324</v>
      </c>
      <c r="O149" s="10">
        <v>1.5896168036001322E-2</v>
      </c>
      <c r="P149" s="10"/>
      <c r="Q149" s="10"/>
      <c r="U149" s="7"/>
    </row>
    <row r="150" spans="1:21" ht="15" thickBot="1" x14ac:dyDescent="0.35">
      <c r="A150" s="11" t="s">
        <v>79</v>
      </c>
      <c r="B150" s="11">
        <v>12</v>
      </c>
      <c r="C150" s="11">
        <v>3.9015879414737444</v>
      </c>
      <c r="D150" s="11"/>
      <c r="E150" s="11"/>
      <c r="F150" s="11"/>
      <c r="L150" s="11" t="s">
        <v>79</v>
      </c>
      <c r="M150" s="11">
        <v>12</v>
      </c>
      <c r="N150" s="11">
        <v>3.9015879414737444</v>
      </c>
      <c r="O150" s="11"/>
      <c r="P150" s="11"/>
      <c r="Q150" s="11"/>
      <c r="U150" s="7"/>
    </row>
    <row r="151" spans="1:21" ht="15" thickBot="1" x14ac:dyDescent="0.35">
      <c r="U151" s="7"/>
    </row>
    <row r="152" spans="1:21" x14ac:dyDescent="0.3">
      <c r="A152" s="12"/>
      <c r="B152" s="12" t="s">
        <v>86</v>
      </c>
      <c r="C152" s="12" t="s">
        <v>69</v>
      </c>
      <c r="D152" s="12" t="s">
        <v>87</v>
      </c>
      <c r="E152" s="12" t="s">
        <v>88</v>
      </c>
      <c r="F152" s="12" t="s">
        <v>89</v>
      </c>
      <c r="G152" s="12" t="s">
        <v>90</v>
      </c>
      <c r="H152" s="12" t="s">
        <v>91</v>
      </c>
      <c r="I152" s="12" t="s">
        <v>92</v>
      </c>
      <c r="L152" s="12"/>
      <c r="M152" s="12" t="s">
        <v>86</v>
      </c>
      <c r="N152" s="12" t="s">
        <v>69</v>
      </c>
      <c r="O152" s="12" t="s">
        <v>87</v>
      </c>
      <c r="P152" s="12" t="s">
        <v>88</v>
      </c>
      <c r="Q152" s="12" t="s">
        <v>89</v>
      </c>
      <c r="R152" s="12" t="s">
        <v>90</v>
      </c>
      <c r="S152" s="12" t="s">
        <v>91</v>
      </c>
      <c r="T152" s="12" t="s">
        <v>92</v>
      </c>
      <c r="U152" s="7"/>
    </row>
    <row r="153" spans="1:21" x14ac:dyDescent="0.3">
      <c r="A153" s="10" t="s">
        <v>80</v>
      </c>
      <c r="B153" s="10">
        <v>-0.20096480960607477</v>
      </c>
      <c r="C153" s="10">
        <v>0.17310891872263157</v>
      </c>
      <c r="D153" s="10">
        <v>-1.1609153999053974</v>
      </c>
      <c r="E153" s="10">
        <v>0.27025020705267344</v>
      </c>
      <c r="F153" s="10">
        <v>-0.58197497079409644</v>
      </c>
      <c r="G153" s="10">
        <v>0.1800453515819469</v>
      </c>
      <c r="H153" s="10">
        <v>-0.58197497079409644</v>
      </c>
      <c r="I153" s="10">
        <v>0.1800453515819469</v>
      </c>
      <c r="L153" s="10" t="s">
        <v>80</v>
      </c>
      <c r="M153" s="10">
        <v>-0.5181940095122658</v>
      </c>
      <c r="N153" s="10">
        <v>0.12266998803348246</v>
      </c>
      <c r="O153" s="10">
        <v>-4.2242933077553255</v>
      </c>
      <c r="P153" s="10">
        <v>1.7596176402032726E-3</v>
      </c>
      <c r="Q153" s="10">
        <v>-0.79151977582235944</v>
      </c>
      <c r="R153" s="10">
        <v>-0.24486824320217215</v>
      </c>
      <c r="S153" s="10">
        <v>-0.79151977582235944</v>
      </c>
      <c r="T153" s="10">
        <v>-0.24486824320217215</v>
      </c>
      <c r="U153" s="7"/>
    </row>
    <row r="154" spans="1:21" ht="15" thickBot="1" x14ac:dyDescent="0.35">
      <c r="A154" s="11" t="s">
        <v>49</v>
      </c>
      <c r="B154" s="11">
        <v>9.3451321337312567</v>
      </c>
      <c r="C154" s="11">
        <v>1.0846800618186685</v>
      </c>
      <c r="D154" s="11">
        <v>8.6155655134495603</v>
      </c>
      <c r="E154" s="11">
        <v>3.2063820503220023E-6</v>
      </c>
      <c r="F154" s="11">
        <v>6.9577674142210864</v>
      </c>
      <c r="G154" s="11">
        <v>11.732496853241427</v>
      </c>
      <c r="H154" s="11">
        <v>6.9577674142210864</v>
      </c>
      <c r="I154" s="11">
        <v>11.732496853241427</v>
      </c>
      <c r="L154" s="10" t="s">
        <v>151</v>
      </c>
      <c r="M154" s="10">
        <v>9.4941387964618862</v>
      </c>
      <c r="N154" s="10">
        <v>0.63997344649347643</v>
      </c>
      <c r="O154" s="10">
        <v>14.835207380059112</v>
      </c>
      <c r="P154" s="10">
        <v>3.887690246211368E-8</v>
      </c>
      <c r="Q154" s="10">
        <v>8.0681890960902116</v>
      </c>
      <c r="R154" s="10">
        <v>10.920088496833561</v>
      </c>
      <c r="S154" s="10">
        <v>8.0681890960902116</v>
      </c>
      <c r="T154" s="10">
        <v>10.920088496833561</v>
      </c>
      <c r="U154" s="7"/>
    </row>
    <row r="155" spans="1:21" ht="15" thickBot="1" x14ac:dyDescent="0.35">
      <c r="L155" s="11" t="s">
        <v>154</v>
      </c>
      <c r="M155" s="11">
        <v>7.7342058530869104E-2</v>
      </c>
      <c r="N155" s="11">
        <v>1.6611346799842157E-2</v>
      </c>
      <c r="O155" s="11">
        <v>4.6559775954833489</v>
      </c>
      <c r="P155" s="11">
        <v>8.9981016747458836E-4</v>
      </c>
      <c r="Q155" s="11">
        <v>4.0329671342322931E-2</v>
      </c>
      <c r="R155" s="11">
        <v>0.11435444571941528</v>
      </c>
      <c r="S155" s="11">
        <v>4.0329671342322931E-2</v>
      </c>
      <c r="T155" s="11">
        <v>0.11435444571941528</v>
      </c>
      <c r="U155" s="7"/>
    </row>
    <row r="156" spans="1:21" x14ac:dyDescent="0.3">
      <c r="U156" s="7"/>
    </row>
    <row r="157" spans="1:21" x14ac:dyDescent="0.3">
      <c r="U157" s="7"/>
    </row>
    <row r="158" spans="1:21" x14ac:dyDescent="0.3">
      <c r="U158" s="7"/>
    </row>
    <row r="159" spans="1:21" x14ac:dyDescent="0.3">
      <c r="A159" t="s">
        <v>123</v>
      </c>
      <c r="I159">
        <f>((C149-N149)/(M148-B148))/(N149/(B150+1-(M148+1)))</f>
        <v>21.678127369642887</v>
      </c>
      <c r="K159" t="s">
        <v>292</v>
      </c>
    </row>
    <row r="160" spans="1:21" x14ac:dyDescent="0.3">
      <c r="A160" t="s">
        <v>124</v>
      </c>
      <c r="I160">
        <f>_xlfn.F.DIST.RT(I159,B149-M149,M149)</f>
        <v>8.998101674745927E-4</v>
      </c>
    </row>
    <row r="161" spans="1:26" x14ac:dyDescent="0.3">
      <c r="A161" t="s">
        <v>310</v>
      </c>
    </row>
    <row r="162" spans="1:26" x14ac:dyDescent="0.3">
      <c r="A162" t="s">
        <v>311</v>
      </c>
    </row>
    <row r="164" spans="1:26" x14ac:dyDescent="0.3">
      <c r="A164" s="15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x14ac:dyDescent="0.3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x14ac:dyDescent="0.3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x14ac:dyDescent="0.3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x14ac:dyDescent="0.3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24"/>
      <c r="M168" s="24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x14ac:dyDescent="0.3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10"/>
      <c r="M169" s="10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x14ac:dyDescent="0.3">
      <c r="A170" s="24"/>
      <c r="B170" s="24"/>
      <c r="C170" s="7"/>
      <c r="D170" s="7"/>
      <c r="E170" s="7"/>
      <c r="F170" s="7"/>
      <c r="G170" s="7"/>
      <c r="H170" s="7"/>
      <c r="I170" s="7"/>
      <c r="J170" s="7"/>
      <c r="K170" s="7"/>
      <c r="L170" s="10"/>
      <c r="M170" s="10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x14ac:dyDescent="0.3">
      <c r="A171" s="10"/>
      <c r="B171" s="10"/>
      <c r="C171" s="7"/>
      <c r="D171" s="7"/>
      <c r="E171" s="7"/>
      <c r="F171" s="7"/>
      <c r="G171" s="7"/>
      <c r="H171" s="7"/>
      <c r="I171" s="7"/>
      <c r="J171" s="7"/>
      <c r="K171" s="7"/>
      <c r="L171" s="10"/>
      <c r="M171" s="10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x14ac:dyDescent="0.3">
      <c r="A172" s="10"/>
      <c r="B172" s="10"/>
      <c r="C172" s="7"/>
      <c r="D172" s="7"/>
      <c r="E172" s="7"/>
      <c r="F172" s="7"/>
      <c r="G172" s="7"/>
      <c r="H172" s="7"/>
      <c r="I172" s="7"/>
      <c r="J172" s="7"/>
      <c r="K172" s="7"/>
      <c r="L172" s="10"/>
      <c r="M172" s="10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x14ac:dyDescent="0.3">
      <c r="A173" s="10"/>
      <c r="B173" s="10"/>
      <c r="C173" s="7"/>
      <c r="D173" s="7"/>
      <c r="E173" s="7"/>
      <c r="F173" s="7"/>
      <c r="G173" s="7"/>
      <c r="H173" s="7"/>
      <c r="I173" s="7"/>
      <c r="J173" s="7"/>
      <c r="K173" s="7"/>
      <c r="L173" s="10"/>
      <c r="M173" s="10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x14ac:dyDescent="0.3">
      <c r="A174" s="10"/>
      <c r="B174" s="10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x14ac:dyDescent="0.3">
      <c r="A175" s="10"/>
      <c r="B175" s="10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x14ac:dyDescent="0.3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25"/>
      <c r="M176" s="25"/>
      <c r="N176" s="25"/>
      <c r="O176" s="25"/>
      <c r="P176" s="25"/>
      <c r="Q176" s="25"/>
      <c r="R176" s="7"/>
      <c r="S176" s="7"/>
      <c r="T176" s="7"/>
      <c r="U176" s="7"/>
      <c r="V176" s="7"/>
      <c r="W176" s="7"/>
      <c r="X176" s="7"/>
      <c r="Y176" s="7"/>
      <c r="Z176" s="7"/>
    </row>
    <row r="177" spans="1:26" x14ac:dyDescent="0.3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10"/>
      <c r="M177" s="10"/>
      <c r="N177" s="10"/>
      <c r="O177" s="10"/>
      <c r="P177" s="10"/>
      <c r="Q177" s="10"/>
      <c r="R177" s="7"/>
      <c r="S177" s="7"/>
      <c r="T177" s="7"/>
      <c r="U177" s="7"/>
      <c r="V177" s="7"/>
      <c r="W177" s="7"/>
      <c r="X177" s="7"/>
      <c r="Y177" s="7"/>
      <c r="Z177" s="7"/>
    </row>
    <row r="178" spans="1:26" x14ac:dyDescent="0.3">
      <c r="A178" s="25"/>
      <c r="B178" s="25"/>
      <c r="C178" s="25"/>
      <c r="D178" s="25"/>
      <c r="E178" s="25"/>
      <c r="F178" s="25"/>
      <c r="G178" s="7"/>
      <c r="H178" s="7"/>
      <c r="I178" s="7"/>
      <c r="J178" s="7"/>
      <c r="K178" s="7"/>
      <c r="L178" s="10"/>
      <c r="M178" s="10"/>
      <c r="N178" s="10"/>
      <c r="O178" s="10"/>
      <c r="P178" s="10"/>
      <c r="Q178" s="10"/>
      <c r="R178" s="7"/>
      <c r="S178" s="7"/>
      <c r="T178" s="7"/>
      <c r="U178" s="7"/>
      <c r="V178" s="7"/>
      <c r="W178" s="7"/>
      <c r="X178" s="7"/>
      <c r="Y178" s="7"/>
      <c r="Z178" s="7"/>
    </row>
    <row r="179" spans="1:26" x14ac:dyDescent="0.3">
      <c r="A179" s="10"/>
      <c r="B179" s="10"/>
      <c r="C179" s="10"/>
      <c r="D179" s="10"/>
      <c r="E179" s="10"/>
      <c r="F179" s="10"/>
      <c r="G179" s="7"/>
      <c r="H179" s="7"/>
      <c r="I179" s="7"/>
      <c r="J179" s="7"/>
      <c r="K179" s="7"/>
      <c r="L179" s="10"/>
      <c r="M179" s="10"/>
      <c r="N179" s="10"/>
      <c r="O179" s="10"/>
      <c r="P179" s="10"/>
      <c r="Q179" s="10"/>
      <c r="R179" s="7"/>
      <c r="S179" s="7"/>
      <c r="T179" s="7"/>
      <c r="U179" s="7"/>
      <c r="V179" s="7"/>
      <c r="W179" s="7"/>
      <c r="X179" s="7"/>
      <c r="Y179" s="7"/>
      <c r="Z179" s="7"/>
    </row>
    <row r="180" spans="1:26" x14ac:dyDescent="0.3">
      <c r="A180" s="10"/>
      <c r="B180" s="10"/>
      <c r="C180" s="10"/>
      <c r="D180" s="10"/>
      <c r="E180" s="10"/>
      <c r="F180" s="10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x14ac:dyDescent="0.3">
      <c r="A181" s="10"/>
      <c r="B181" s="10"/>
      <c r="C181" s="10"/>
      <c r="D181" s="10"/>
      <c r="E181" s="10"/>
      <c r="F181" s="10"/>
      <c r="G181" s="7"/>
      <c r="H181" s="7"/>
      <c r="I181" s="7"/>
      <c r="J181" s="7"/>
      <c r="K181" s="7"/>
      <c r="L181" s="25"/>
      <c r="M181" s="25"/>
      <c r="N181" s="25"/>
      <c r="O181" s="25"/>
      <c r="P181" s="25"/>
      <c r="Q181" s="25"/>
      <c r="R181" s="25"/>
      <c r="S181" s="25"/>
      <c r="T181" s="25"/>
      <c r="U181" s="7"/>
      <c r="V181" s="7"/>
      <c r="W181" s="7"/>
      <c r="X181" s="7"/>
      <c r="Y181" s="7"/>
      <c r="Z181" s="7"/>
    </row>
    <row r="182" spans="1:26" x14ac:dyDescent="0.3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10"/>
      <c r="M182" s="10"/>
      <c r="N182" s="10"/>
      <c r="O182" s="10"/>
      <c r="P182" s="10"/>
      <c r="Q182" s="10"/>
      <c r="R182" s="10"/>
      <c r="S182" s="10"/>
      <c r="T182" s="10"/>
      <c r="U182" s="7"/>
      <c r="V182" s="7"/>
      <c r="W182" s="7"/>
      <c r="X182" s="7"/>
      <c r="Y182" s="7"/>
      <c r="Z182" s="7"/>
    </row>
    <row r="183" spans="1:26" x14ac:dyDescent="0.3">
      <c r="A183" s="25"/>
      <c r="B183" s="25"/>
      <c r="C183" s="25"/>
      <c r="D183" s="25"/>
      <c r="E183" s="25"/>
      <c r="F183" s="25"/>
      <c r="G183" s="25"/>
      <c r="H183" s="25"/>
      <c r="I183" s="25"/>
      <c r="J183" s="7"/>
      <c r="K183" s="7"/>
      <c r="L183" s="10"/>
      <c r="M183" s="10"/>
      <c r="N183" s="10"/>
      <c r="O183" s="10"/>
      <c r="P183" s="10"/>
      <c r="Q183" s="10"/>
      <c r="R183" s="10"/>
      <c r="S183" s="10"/>
      <c r="T183" s="10"/>
      <c r="U183" s="7"/>
      <c r="V183" s="7"/>
      <c r="W183" s="7"/>
      <c r="X183" s="7"/>
      <c r="Y183" s="7"/>
      <c r="Z183" s="7"/>
    </row>
    <row r="184" spans="1:26" x14ac:dyDescent="0.3">
      <c r="A184" s="10"/>
      <c r="B184" s="10"/>
      <c r="C184" s="10"/>
      <c r="D184" s="10"/>
      <c r="E184" s="10"/>
      <c r="F184" s="10"/>
      <c r="G184" s="10"/>
      <c r="H184" s="10"/>
      <c r="I184" s="10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x14ac:dyDescent="0.3">
      <c r="A185" s="10"/>
      <c r="B185" s="10"/>
      <c r="C185" s="10"/>
      <c r="D185" s="10"/>
      <c r="E185" s="10"/>
      <c r="F185" s="10"/>
      <c r="G185" s="10"/>
      <c r="H185" s="10"/>
      <c r="I185" s="10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x14ac:dyDescent="0.3">
      <c r="A186" s="10"/>
      <c r="B186" s="10"/>
      <c r="C186" s="10"/>
      <c r="D186" s="10"/>
      <c r="E186" s="10"/>
      <c r="F186" s="10"/>
      <c r="G186" s="10"/>
      <c r="H186" s="10"/>
      <c r="I186" s="10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x14ac:dyDescent="0.3">
      <c r="A187" s="10"/>
      <c r="B187" s="10"/>
      <c r="C187" s="10"/>
      <c r="D187" s="10"/>
      <c r="E187" s="10"/>
      <c r="F187" s="10"/>
      <c r="G187" s="10"/>
      <c r="H187" s="10"/>
      <c r="I187" s="10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x14ac:dyDescent="0.3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x14ac:dyDescent="0.3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x14ac:dyDescent="0.3"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x14ac:dyDescent="0.3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x14ac:dyDescent="0.3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x14ac:dyDescent="0.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x14ac:dyDescent="0.3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x14ac:dyDescent="0.3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x14ac:dyDescent="0.3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x14ac:dyDescent="0.3">
      <c r="A197" s="24"/>
      <c r="B197" s="24"/>
      <c r="C197" s="7"/>
      <c r="D197" s="7"/>
      <c r="E197" s="7"/>
      <c r="F197" s="7"/>
      <c r="G197" s="7"/>
      <c r="H197" s="7"/>
      <c r="I197" s="7"/>
      <c r="J197" s="7"/>
      <c r="K197" s="7"/>
      <c r="L197" s="24"/>
      <c r="M197" s="24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x14ac:dyDescent="0.3">
      <c r="A198" s="10"/>
      <c r="B198" s="10"/>
      <c r="C198" s="7"/>
      <c r="D198" s="7"/>
      <c r="E198" s="7"/>
      <c r="F198" s="7"/>
      <c r="G198" s="7"/>
      <c r="H198" s="7"/>
      <c r="I198" s="7"/>
      <c r="J198" s="7"/>
      <c r="K198" s="7"/>
      <c r="L198" s="10"/>
      <c r="M198" s="10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x14ac:dyDescent="0.3">
      <c r="A199" s="10"/>
      <c r="B199" s="10"/>
      <c r="C199" s="7"/>
      <c r="D199" s="7"/>
      <c r="E199" s="7"/>
      <c r="F199" s="7"/>
      <c r="G199" s="7"/>
      <c r="H199" s="7"/>
      <c r="I199" s="7"/>
      <c r="J199" s="7"/>
      <c r="K199" s="7"/>
      <c r="L199" s="10"/>
      <c r="M199" s="10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x14ac:dyDescent="0.3">
      <c r="A200" s="10"/>
      <c r="B200" s="10"/>
      <c r="C200" s="7"/>
      <c r="D200" s="7"/>
      <c r="E200" s="7"/>
      <c r="F200" s="7"/>
      <c r="G200" s="7"/>
      <c r="H200" s="7"/>
      <c r="I200" s="7"/>
      <c r="J200" s="7"/>
      <c r="K200" s="7"/>
      <c r="L200" s="10"/>
      <c r="M200" s="10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x14ac:dyDescent="0.3">
      <c r="A201" s="10"/>
      <c r="B201" s="10"/>
      <c r="C201" s="7"/>
      <c r="D201" s="7"/>
      <c r="E201" s="7"/>
      <c r="F201" s="7"/>
      <c r="G201" s="7"/>
      <c r="H201" s="7"/>
      <c r="I201" s="7"/>
      <c r="J201" s="7"/>
      <c r="K201" s="7"/>
      <c r="L201" s="10"/>
      <c r="M201" s="10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x14ac:dyDescent="0.3">
      <c r="A202" s="10"/>
      <c r="B202" s="10"/>
      <c r="C202" s="7"/>
      <c r="D202" s="7"/>
      <c r="E202" s="7"/>
      <c r="F202" s="7"/>
      <c r="G202" s="7"/>
      <c r="H202" s="7"/>
      <c r="I202" s="7"/>
      <c r="J202" s="7"/>
      <c r="K202" s="7"/>
      <c r="L202" s="10"/>
      <c r="M202" s="10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x14ac:dyDescent="0.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x14ac:dyDescent="0.3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x14ac:dyDescent="0.3">
      <c r="A205" s="25"/>
      <c r="B205" s="25"/>
      <c r="C205" s="25"/>
      <c r="D205" s="25"/>
      <c r="E205" s="25"/>
      <c r="F205" s="25"/>
      <c r="G205" s="7"/>
      <c r="H205" s="7"/>
      <c r="I205" s="7"/>
      <c r="J205" s="7"/>
      <c r="K205" s="7"/>
      <c r="L205" s="25"/>
      <c r="M205" s="25"/>
      <c r="N205" s="25"/>
      <c r="O205" s="25"/>
      <c r="P205" s="25"/>
      <c r="Q205" s="25"/>
      <c r="R205" s="7"/>
      <c r="S205" s="7"/>
      <c r="T205" s="7"/>
      <c r="U205" s="7"/>
      <c r="V205" s="7"/>
      <c r="W205" s="7"/>
      <c r="X205" s="7"/>
      <c r="Y205" s="7"/>
      <c r="Z205" s="7"/>
    </row>
    <row r="206" spans="1:26" x14ac:dyDescent="0.3">
      <c r="A206" s="10"/>
      <c r="B206" s="10"/>
      <c r="C206" s="10"/>
      <c r="D206" s="10"/>
      <c r="E206" s="10"/>
      <c r="F206" s="10"/>
      <c r="G206" s="7"/>
      <c r="H206" s="7"/>
      <c r="I206" s="7"/>
      <c r="J206" s="7"/>
      <c r="K206" s="7"/>
      <c r="L206" s="10"/>
      <c r="M206" s="10"/>
      <c r="N206" s="10"/>
      <c r="O206" s="10"/>
      <c r="P206" s="10"/>
      <c r="Q206" s="10"/>
      <c r="R206" s="7"/>
      <c r="S206" s="7"/>
      <c r="T206" s="7"/>
      <c r="U206" s="7"/>
      <c r="V206" s="7"/>
      <c r="W206" s="7"/>
      <c r="X206" s="7"/>
      <c r="Y206" s="7"/>
      <c r="Z206" s="7"/>
    </row>
    <row r="207" spans="1:26" x14ac:dyDescent="0.3">
      <c r="A207" s="10"/>
      <c r="B207" s="10"/>
      <c r="C207" s="10"/>
      <c r="D207" s="10"/>
      <c r="E207" s="10"/>
      <c r="F207" s="10"/>
      <c r="G207" s="7"/>
      <c r="H207" s="7"/>
      <c r="I207" s="7"/>
      <c r="J207" s="7"/>
      <c r="K207" s="7"/>
      <c r="L207" s="10"/>
      <c r="M207" s="10"/>
      <c r="N207" s="10"/>
      <c r="O207" s="10"/>
      <c r="P207" s="10"/>
      <c r="Q207" s="10"/>
      <c r="R207" s="7"/>
      <c r="S207" s="7"/>
      <c r="T207" s="7"/>
      <c r="U207" s="7"/>
      <c r="V207" s="7"/>
      <c r="W207" s="7"/>
      <c r="X207" s="7"/>
      <c r="Y207" s="7"/>
      <c r="Z207" s="7"/>
    </row>
    <row r="208" spans="1:26" x14ac:dyDescent="0.3">
      <c r="A208" s="10"/>
      <c r="B208" s="10"/>
      <c r="C208" s="10"/>
      <c r="D208" s="10"/>
      <c r="E208" s="10"/>
      <c r="F208" s="10"/>
      <c r="G208" s="7"/>
      <c r="H208" s="7"/>
      <c r="I208" s="7"/>
      <c r="J208" s="7"/>
      <c r="K208" s="7"/>
      <c r="L208" s="10"/>
      <c r="M208" s="10"/>
      <c r="N208" s="10"/>
      <c r="O208" s="10"/>
      <c r="P208" s="10"/>
      <c r="Q208" s="10"/>
      <c r="R208" s="7"/>
      <c r="S208" s="7"/>
      <c r="T208" s="7"/>
      <c r="U208" s="7"/>
      <c r="V208" s="7"/>
      <c r="W208" s="7"/>
      <c r="X208" s="7"/>
      <c r="Y208" s="7"/>
      <c r="Z208" s="7"/>
    </row>
    <row r="209" spans="1:26" x14ac:dyDescent="0.3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x14ac:dyDescent="0.3">
      <c r="A210" s="25"/>
      <c r="B210" s="25"/>
      <c r="C210" s="25"/>
      <c r="D210" s="25"/>
      <c r="E210" s="25"/>
      <c r="F210" s="25"/>
      <c r="G210" s="25"/>
      <c r="H210" s="25"/>
      <c r="I210" s="25"/>
      <c r="J210" s="7"/>
      <c r="K210" s="7"/>
      <c r="L210" s="25"/>
      <c r="M210" s="25"/>
      <c r="N210" s="25"/>
      <c r="O210" s="25"/>
      <c r="P210" s="25"/>
      <c r="Q210" s="25"/>
      <c r="R210" s="25"/>
      <c r="S210" s="25"/>
      <c r="T210" s="25"/>
      <c r="U210" s="7"/>
      <c r="V210" s="7"/>
      <c r="W210" s="7"/>
      <c r="X210" s="7"/>
      <c r="Y210" s="7"/>
      <c r="Z210" s="7"/>
    </row>
    <row r="211" spans="1:26" x14ac:dyDescent="0.3">
      <c r="A211" s="10"/>
      <c r="B211" s="10"/>
      <c r="C211" s="10"/>
      <c r="D211" s="10"/>
      <c r="E211" s="10"/>
      <c r="F211" s="10"/>
      <c r="G211" s="10"/>
      <c r="H211" s="10"/>
      <c r="I211" s="10"/>
      <c r="J211" s="7"/>
      <c r="K211" s="7"/>
      <c r="L211" s="10"/>
      <c r="M211" s="10"/>
      <c r="N211" s="10"/>
      <c r="O211" s="10"/>
      <c r="P211" s="10"/>
      <c r="Q211" s="10"/>
      <c r="R211" s="10"/>
      <c r="S211" s="10"/>
      <c r="T211" s="10"/>
      <c r="U211" s="7"/>
      <c r="V211" s="7"/>
      <c r="W211" s="7"/>
      <c r="X211" s="7"/>
      <c r="Y211" s="7"/>
      <c r="Z211" s="7"/>
    </row>
    <row r="212" spans="1:26" x14ac:dyDescent="0.3">
      <c r="A212" s="10"/>
      <c r="B212" s="10"/>
      <c r="C212" s="10"/>
      <c r="D212" s="10"/>
      <c r="E212" s="10"/>
      <c r="F212" s="10"/>
      <c r="G212" s="10"/>
      <c r="H212" s="10"/>
      <c r="I212" s="10"/>
      <c r="J212" s="7"/>
      <c r="K212" s="7"/>
      <c r="L212" s="10"/>
      <c r="M212" s="10"/>
      <c r="N212" s="10"/>
      <c r="O212" s="10"/>
      <c r="P212" s="10"/>
      <c r="Q212" s="10"/>
      <c r="R212" s="10"/>
      <c r="S212" s="10"/>
      <c r="T212" s="10"/>
      <c r="U212" s="7"/>
      <c r="V212" s="7"/>
      <c r="W212" s="7"/>
      <c r="X212" s="7"/>
      <c r="Y212" s="7"/>
      <c r="Z212" s="7"/>
    </row>
    <row r="213" spans="1:26" x14ac:dyDescent="0.3">
      <c r="A213" s="10"/>
      <c r="B213" s="10"/>
      <c r="C213" s="10"/>
      <c r="D213" s="10"/>
      <c r="E213" s="10"/>
      <c r="F213" s="10"/>
      <c r="G213" s="10"/>
      <c r="H213" s="10"/>
      <c r="I213" s="10"/>
      <c r="J213" s="7"/>
      <c r="K213" s="7"/>
      <c r="L213" s="10"/>
      <c r="M213" s="10"/>
      <c r="N213" s="10"/>
      <c r="O213" s="10"/>
      <c r="P213" s="10"/>
      <c r="Q213" s="10"/>
      <c r="R213" s="10"/>
      <c r="S213" s="10"/>
      <c r="T213" s="10"/>
      <c r="U213" s="7"/>
      <c r="V213" s="7"/>
      <c r="W213" s="7"/>
      <c r="X213" s="7"/>
      <c r="Y213" s="7"/>
      <c r="Z213" s="7"/>
    </row>
    <row r="214" spans="1:26" x14ac:dyDescent="0.3">
      <c r="A214" s="10"/>
      <c r="B214" s="10"/>
      <c r="C214" s="10"/>
      <c r="D214" s="10"/>
      <c r="E214" s="10"/>
      <c r="F214" s="10"/>
      <c r="G214" s="10"/>
      <c r="H214" s="10"/>
      <c r="I214" s="10"/>
      <c r="J214" s="7"/>
      <c r="K214" s="7"/>
      <c r="L214" s="10"/>
      <c r="M214" s="10"/>
      <c r="N214" s="10"/>
      <c r="O214" s="10"/>
      <c r="P214" s="10"/>
      <c r="Q214" s="10"/>
      <c r="R214" s="10"/>
      <c r="S214" s="10"/>
      <c r="T214" s="10"/>
      <c r="U214" s="7"/>
      <c r="V214" s="7"/>
      <c r="W214" s="7"/>
      <c r="X214" s="7"/>
      <c r="Y214" s="7"/>
      <c r="Z214" s="7"/>
    </row>
    <row r="215" spans="1:26" x14ac:dyDescent="0.3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x14ac:dyDescent="0.3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x14ac:dyDescent="0.3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x14ac:dyDescent="0.3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x14ac:dyDescent="0.3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x14ac:dyDescent="0.3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x14ac:dyDescent="0.3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x14ac:dyDescent="0.3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x14ac:dyDescent="0.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x14ac:dyDescent="0.3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4"/>
  <sheetViews>
    <sheetView topLeftCell="A28" workbookViewId="0">
      <selection activeCell="I57" sqref="I57"/>
    </sheetView>
  </sheetViews>
  <sheetFormatPr defaultRowHeight="14.4" x14ac:dyDescent="0.3"/>
  <sheetData>
    <row r="1" spans="1:28" x14ac:dyDescent="0.3">
      <c r="A1" t="s">
        <v>19</v>
      </c>
      <c r="F1" t="s">
        <v>8</v>
      </c>
      <c r="G1">
        <v>24.6</v>
      </c>
      <c r="H1" t="s">
        <v>24</v>
      </c>
    </row>
    <row r="2" spans="1:28" x14ac:dyDescent="0.3">
      <c r="A2" s="1" t="s">
        <v>42</v>
      </c>
    </row>
    <row r="4" spans="1:28" x14ac:dyDescent="0.3">
      <c r="A4" t="s">
        <v>20</v>
      </c>
      <c r="B4" t="s">
        <v>5</v>
      </c>
      <c r="C4" t="s">
        <v>21</v>
      </c>
      <c r="D4" t="s">
        <v>145</v>
      </c>
      <c r="E4" t="s">
        <v>288</v>
      </c>
      <c r="H4" t="s">
        <v>40</v>
      </c>
      <c r="AA4" t="s">
        <v>5</v>
      </c>
      <c r="AB4" t="s">
        <v>145</v>
      </c>
    </row>
    <row r="5" spans="1:28" s="2" customFormat="1" x14ac:dyDescent="0.3">
      <c r="B5" s="2" t="s">
        <v>6</v>
      </c>
      <c r="C5" s="2" t="s">
        <v>1</v>
      </c>
      <c r="D5" s="2" t="s">
        <v>147</v>
      </c>
      <c r="E5" s="2" t="s">
        <v>22</v>
      </c>
      <c r="H5" s="2" t="s">
        <v>1</v>
      </c>
      <c r="AA5" s="2" t="s">
        <v>6</v>
      </c>
      <c r="AB5" s="2" t="s">
        <v>147</v>
      </c>
    </row>
    <row r="6" spans="1:28" x14ac:dyDescent="0.3">
      <c r="A6" t="s">
        <v>25</v>
      </c>
      <c r="B6">
        <v>0.1</v>
      </c>
      <c r="C6">
        <v>40</v>
      </c>
      <c r="D6">
        <f>B6*C6</f>
        <v>4</v>
      </c>
      <c r="E6">
        <v>1.79</v>
      </c>
      <c r="H6">
        <v>24</v>
      </c>
      <c r="AA6">
        <v>0.1</v>
      </c>
      <c r="AB6">
        <f>AA6*C6</f>
        <v>4</v>
      </c>
    </row>
    <row r="7" spans="1:28" x14ac:dyDescent="0.3">
      <c r="A7" t="s">
        <v>26</v>
      </c>
      <c r="B7">
        <v>9.0999999999999998E-2</v>
      </c>
      <c r="C7">
        <v>49</v>
      </c>
      <c r="D7">
        <f t="shared" ref="D7:D20" si="0">B7*C7</f>
        <v>4.4589999999999996</v>
      </c>
      <c r="E7">
        <v>2.0299999999999998</v>
      </c>
      <c r="H7">
        <v>20</v>
      </c>
      <c r="AA7">
        <v>9.0999999999999998E-2</v>
      </c>
      <c r="AB7">
        <f t="shared" ref="AB7:AB20" si="1">AA7*C7</f>
        <v>4.4589999999999996</v>
      </c>
    </row>
    <row r="8" spans="1:28" x14ac:dyDescent="0.3">
      <c r="A8" t="s">
        <v>27</v>
      </c>
      <c r="B8">
        <v>0.13800000000000001</v>
      </c>
      <c r="C8">
        <v>47</v>
      </c>
      <c r="D8">
        <f t="shared" si="0"/>
        <v>6.4860000000000007</v>
      </c>
      <c r="E8">
        <v>1.8</v>
      </c>
      <c r="H8">
        <v>37</v>
      </c>
      <c r="AA8">
        <v>0.13800000000000001</v>
      </c>
      <c r="AB8">
        <f t="shared" si="1"/>
        <v>6.4860000000000007</v>
      </c>
    </row>
    <row r="9" spans="1:28" x14ac:dyDescent="0.3">
      <c r="A9" t="s">
        <v>28</v>
      </c>
      <c r="B9">
        <v>0.153</v>
      </c>
      <c r="C9">
        <v>36</v>
      </c>
      <c r="D9">
        <f t="shared" si="0"/>
        <v>5.508</v>
      </c>
      <c r="E9">
        <v>2.12</v>
      </c>
      <c r="H9">
        <v>95</v>
      </c>
      <c r="AA9">
        <v>0.153</v>
      </c>
      <c r="AB9">
        <f t="shared" si="1"/>
        <v>5.508</v>
      </c>
    </row>
    <row r="10" spans="1:28" x14ac:dyDescent="0.3">
      <c r="A10" t="s">
        <v>29</v>
      </c>
      <c r="B10">
        <v>8.3000000000000004E-2</v>
      </c>
      <c r="C10">
        <v>46</v>
      </c>
      <c r="D10">
        <f t="shared" si="0"/>
        <v>3.8180000000000001</v>
      </c>
      <c r="E10">
        <v>1.91</v>
      </c>
      <c r="H10">
        <v>69</v>
      </c>
      <c r="AA10">
        <v>8.3000000000000004E-2</v>
      </c>
      <c r="AB10">
        <f t="shared" si="1"/>
        <v>3.8180000000000001</v>
      </c>
    </row>
    <row r="11" spans="1:28" x14ac:dyDescent="0.3">
      <c r="A11" t="s">
        <v>30</v>
      </c>
      <c r="B11">
        <v>8.5000000000000006E-2</v>
      </c>
      <c r="C11">
        <v>59</v>
      </c>
      <c r="D11">
        <f t="shared" si="0"/>
        <v>5.0150000000000006</v>
      </c>
      <c r="E11">
        <v>1.3</v>
      </c>
      <c r="H11">
        <v>4</v>
      </c>
      <c r="AA11">
        <v>8.5000000000000006E-2</v>
      </c>
      <c r="AB11">
        <f t="shared" si="1"/>
        <v>5.0150000000000006</v>
      </c>
    </row>
    <row r="12" spans="1:28" x14ac:dyDescent="0.3">
      <c r="A12" t="s">
        <v>31</v>
      </c>
      <c r="B12">
        <v>0.113</v>
      </c>
      <c r="C12">
        <v>49</v>
      </c>
      <c r="D12">
        <f t="shared" si="0"/>
        <v>5.5369999999999999</v>
      </c>
      <c r="E12">
        <v>1.86</v>
      </c>
      <c r="H12">
        <v>61</v>
      </c>
      <c r="AA12">
        <v>0.113</v>
      </c>
      <c r="AB12">
        <f t="shared" si="1"/>
        <v>5.5369999999999999</v>
      </c>
    </row>
    <row r="13" spans="1:28" x14ac:dyDescent="0.3">
      <c r="A13" t="s">
        <v>32</v>
      </c>
      <c r="B13">
        <v>3.4000000000000002E-2</v>
      </c>
      <c r="C13">
        <v>65</v>
      </c>
      <c r="D13">
        <f t="shared" si="0"/>
        <v>2.21</v>
      </c>
      <c r="E13">
        <v>1.1399999999999999</v>
      </c>
      <c r="H13">
        <v>24</v>
      </c>
      <c r="AA13">
        <v>3.4000000000000002E-2</v>
      </c>
      <c r="AB13">
        <f t="shared" si="1"/>
        <v>2.21</v>
      </c>
    </row>
    <row r="14" spans="1:28" x14ac:dyDescent="0.3">
      <c r="A14" t="s">
        <v>33</v>
      </c>
      <c r="B14">
        <v>1.4E-2</v>
      </c>
      <c r="C14">
        <v>71</v>
      </c>
      <c r="D14">
        <f t="shared" si="0"/>
        <v>0.99399999999999999</v>
      </c>
      <c r="E14">
        <v>0.85</v>
      </c>
      <c r="H14">
        <v>12</v>
      </c>
      <c r="AA14">
        <v>1.4E-2</v>
      </c>
      <c r="AB14">
        <f t="shared" si="1"/>
        <v>0.99399999999999999</v>
      </c>
    </row>
    <row r="15" spans="1:28" x14ac:dyDescent="0.3">
      <c r="A15" t="s">
        <v>34</v>
      </c>
      <c r="B15">
        <v>1.4999999999999999E-2</v>
      </c>
      <c r="C15">
        <v>72</v>
      </c>
      <c r="D15">
        <f t="shared" si="0"/>
        <v>1.08</v>
      </c>
      <c r="E15">
        <v>0.99</v>
      </c>
      <c r="H15">
        <v>22</v>
      </c>
      <c r="AA15">
        <v>1.4999999999999999E-2</v>
      </c>
      <c r="AB15">
        <f t="shared" si="1"/>
        <v>1.08</v>
      </c>
    </row>
    <row r="16" spans="1:28" x14ac:dyDescent="0.3">
      <c r="A16" t="s">
        <v>35</v>
      </c>
      <c r="B16">
        <v>1.4999999999999999E-2</v>
      </c>
      <c r="C16">
        <v>74</v>
      </c>
      <c r="D16">
        <f t="shared" si="0"/>
        <v>1.1099999999999999</v>
      </c>
      <c r="E16">
        <v>0.78</v>
      </c>
      <c r="H16">
        <v>11</v>
      </c>
      <c r="AA16">
        <v>1.4999999999999999E-2</v>
      </c>
      <c r="AB16">
        <f t="shared" si="1"/>
        <v>1.1099999999999999</v>
      </c>
    </row>
    <row r="17" spans="1:28" x14ac:dyDescent="0.3">
      <c r="A17" t="s">
        <v>36</v>
      </c>
      <c r="B17">
        <v>1.7999999999999999E-2</v>
      </c>
      <c r="C17">
        <v>76</v>
      </c>
      <c r="D17">
        <f t="shared" si="0"/>
        <v>1.3679999999999999</v>
      </c>
      <c r="E17">
        <v>0.68</v>
      </c>
      <c r="H17">
        <v>8</v>
      </c>
      <c r="AA17">
        <v>1.7999999999999999E-2</v>
      </c>
      <c r="AB17">
        <f t="shared" si="1"/>
        <v>1.3679999999999999</v>
      </c>
    </row>
    <row r="18" spans="1:28" x14ac:dyDescent="0.3">
      <c r="A18" t="s">
        <v>37</v>
      </c>
      <c r="B18">
        <v>1.7999999999999999E-2</v>
      </c>
      <c r="C18">
        <v>75</v>
      </c>
      <c r="D18">
        <f t="shared" si="0"/>
        <v>1.3499999999999999</v>
      </c>
      <c r="E18">
        <v>0.8</v>
      </c>
      <c r="H18">
        <v>11</v>
      </c>
      <c r="AA18">
        <v>1.7999999999999999E-2</v>
      </c>
      <c r="AB18">
        <f t="shared" si="1"/>
        <v>1.3499999999999999</v>
      </c>
    </row>
    <row r="19" spans="1:28" x14ac:dyDescent="0.3">
      <c r="A19" t="s">
        <v>38</v>
      </c>
      <c r="B19">
        <v>1.8200000000000001E-2</v>
      </c>
      <c r="C19">
        <v>59</v>
      </c>
      <c r="D19">
        <f t="shared" si="0"/>
        <v>1.0738000000000001</v>
      </c>
      <c r="E19">
        <v>0.83</v>
      </c>
      <c r="H19">
        <v>49</v>
      </c>
      <c r="AA19">
        <v>1.8200000000000001E-2</v>
      </c>
      <c r="AB19">
        <f t="shared" si="1"/>
        <v>1.0738000000000001</v>
      </c>
    </row>
    <row r="20" spans="1:28" x14ac:dyDescent="0.3">
      <c r="A20" t="s">
        <v>39</v>
      </c>
      <c r="B20">
        <v>4.5999999999999999E-2</v>
      </c>
      <c r="C20">
        <v>51</v>
      </c>
      <c r="D20">
        <f t="shared" si="0"/>
        <v>2.3460000000000001</v>
      </c>
      <c r="E20">
        <v>0.99</v>
      </c>
      <c r="H20">
        <v>24</v>
      </c>
      <c r="AA20">
        <v>4.5999999999999999E-2</v>
      </c>
      <c r="AB20">
        <f t="shared" si="1"/>
        <v>2.3460000000000001</v>
      </c>
    </row>
    <row r="25" spans="1:28" x14ac:dyDescent="0.3">
      <c r="A25" t="s">
        <v>127</v>
      </c>
      <c r="L25" t="s">
        <v>128</v>
      </c>
    </row>
    <row r="26" spans="1:28" x14ac:dyDescent="0.3">
      <c r="A26" t="s">
        <v>70</v>
      </c>
      <c r="L26" t="s">
        <v>70</v>
      </c>
    </row>
    <row r="27" spans="1:28" ht="15" thickBot="1" x14ac:dyDescent="0.35"/>
    <row r="28" spans="1:28" x14ac:dyDescent="0.3">
      <c r="A28" s="13" t="s">
        <v>71</v>
      </c>
      <c r="B28" s="13"/>
      <c r="L28" s="13" t="s">
        <v>71</v>
      </c>
      <c r="M28" s="13"/>
    </row>
    <row r="29" spans="1:28" x14ac:dyDescent="0.3">
      <c r="A29" s="10" t="s">
        <v>72</v>
      </c>
      <c r="B29" s="10">
        <v>0.92090867031922363</v>
      </c>
      <c r="L29" s="10" t="s">
        <v>72</v>
      </c>
      <c r="M29" s="10">
        <v>0.93411754665346169</v>
      </c>
    </row>
    <row r="30" spans="1:28" x14ac:dyDescent="0.3">
      <c r="A30" s="10" t="s">
        <v>73</v>
      </c>
      <c r="B30" s="10">
        <v>0.8480727790691206</v>
      </c>
      <c r="L30" s="10" t="s">
        <v>73</v>
      </c>
      <c r="M30" s="10">
        <v>0.87257559096588211</v>
      </c>
    </row>
    <row r="31" spans="1:28" x14ac:dyDescent="0.3">
      <c r="A31" s="10" t="s">
        <v>74</v>
      </c>
      <c r="B31" s="10">
        <v>0.83638606976674523</v>
      </c>
      <c r="L31" s="10" t="s">
        <v>74</v>
      </c>
      <c r="M31" s="10">
        <v>0.85133818946019579</v>
      </c>
    </row>
    <row r="32" spans="1:28" x14ac:dyDescent="0.3">
      <c r="A32" s="10" t="s">
        <v>69</v>
      </c>
      <c r="B32" s="10">
        <v>0.2139818109118744</v>
      </c>
      <c r="L32" s="10" t="s">
        <v>69</v>
      </c>
      <c r="M32" s="10">
        <v>0.20397006247066282</v>
      </c>
    </row>
    <row r="33" spans="1:20" ht="15" thickBot="1" x14ac:dyDescent="0.35">
      <c r="A33" s="11" t="s">
        <v>75</v>
      </c>
      <c r="B33" s="11">
        <v>15</v>
      </c>
      <c r="L33" s="11" t="s">
        <v>75</v>
      </c>
      <c r="M33" s="11">
        <v>15</v>
      </c>
    </row>
    <row r="35" spans="1:20" ht="15" thickBot="1" x14ac:dyDescent="0.35">
      <c r="A35" t="s">
        <v>76</v>
      </c>
      <c r="L35" t="s">
        <v>76</v>
      </c>
    </row>
    <row r="36" spans="1:20" x14ac:dyDescent="0.3">
      <c r="A36" s="12"/>
      <c r="B36" s="12" t="s">
        <v>81</v>
      </c>
      <c r="C36" s="12" t="s">
        <v>82</v>
      </c>
      <c r="D36" s="12" t="s">
        <v>83</v>
      </c>
      <c r="E36" s="12" t="s">
        <v>84</v>
      </c>
      <c r="F36" s="12" t="s">
        <v>85</v>
      </c>
      <c r="L36" s="12"/>
      <c r="M36" s="12" t="s">
        <v>81</v>
      </c>
      <c r="N36" s="12" t="s">
        <v>82</v>
      </c>
      <c r="O36" s="12" t="s">
        <v>83</v>
      </c>
      <c r="P36" s="12" t="s">
        <v>84</v>
      </c>
      <c r="Q36" s="12" t="s">
        <v>85</v>
      </c>
    </row>
    <row r="37" spans="1:20" x14ac:dyDescent="0.3">
      <c r="A37" s="10" t="s">
        <v>77</v>
      </c>
      <c r="B37" s="10">
        <v>1</v>
      </c>
      <c r="C37" s="10">
        <v>3.3227265331187064</v>
      </c>
      <c r="D37" s="10">
        <v>3.3227265331187064</v>
      </c>
      <c r="E37" s="10">
        <v>72.567286233152814</v>
      </c>
      <c r="F37" s="10">
        <v>1.1168120973063813E-6</v>
      </c>
      <c r="L37" s="10" t="s">
        <v>77</v>
      </c>
      <c r="M37" s="10">
        <v>2</v>
      </c>
      <c r="N37" s="10">
        <v>3.4187278967219008</v>
      </c>
      <c r="O37" s="10">
        <v>1.7093639483609504</v>
      </c>
      <c r="P37" s="10">
        <v>41.086739859970614</v>
      </c>
      <c r="Q37" s="10">
        <v>4.2807096196570034E-6</v>
      </c>
    </row>
    <row r="38" spans="1:20" x14ac:dyDescent="0.3">
      <c r="A38" s="10" t="s">
        <v>78</v>
      </c>
      <c r="B38" s="10">
        <v>13</v>
      </c>
      <c r="C38" s="10">
        <v>0.59524680021462728</v>
      </c>
      <c r="D38" s="10">
        <v>4.5788215401125175E-2</v>
      </c>
      <c r="E38" s="10"/>
      <c r="F38" s="10"/>
      <c r="L38" s="10" t="s">
        <v>78</v>
      </c>
      <c r="M38" s="10">
        <v>12</v>
      </c>
      <c r="N38" s="10">
        <v>0.49924543661143317</v>
      </c>
      <c r="O38" s="10">
        <v>4.16037863842861E-2</v>
      </c>
      <c r="P38" s="10"/>
      <c r="Q38" s="10"/>
    </row>
    <row r="39" spans="1:20" ht="15" thickBot="1" x14ac:dyDescent="0.35">
      <c r="A39" s="11" t="s">
        <v>79</v>
      </c>
      <c r="B39" s="11">
        <v>14</v>
      </c>
      <c r="C39" s="11">
        <v>3.9179733333333338</v>
      </c>
      <c r="D39" s="11"/>
      <c r="E39" s="11"/>
      <c r="F39" s="11"/>
      <c r="L39" s="11" t="s">
        <v>79</v>
      </c>
      <c r="M39" s="11">
        <v>14</v>
      </c>
      <c r="N39" s="11">
        <v>3.9179733333333342</v>
      </c>
      <c r="O39" s="11"/>
      <c r="P39" s="11"/>
      <c r="Q39" s="11"/>
    </row>
    <row r="40" spans="1:20" ht="15" thickBot="1" x14ac:dyDescent="0.35"/>
    <row r="41" spans="1:20" x14ac:dyDescent="0.3">
      <c r="B41" t="s">
        <v>86</v>
      </c>
      <c r="C41" t="s">
        <v>69</v>
      </c>
      <c r="D41" t="s">
        <v>87</v>
      </c>
      <c r="E41" t="s">
        <v>88</v>
      </c>
      <c r="F41" t="s">
        <v>89</v>
      </c>
      <c r="G41" t="s">
        <v>90</v>
      </c>
      <c r="H41" t="s">
        <v>91</v>
      </c>
      <c r="I41" t="s">
        <v>92</v>
      </c>
      <c r="L41" s="12"/>
      <c r="M41" s="12" t="s">
        <v>86</v>
      </c>
      <c r="N41" s="12" t="s">
        <v>69</v>
      </c>
      <c r="O41" s="12" t="s">
        <v>87</v>
      </c>
      <c r="P41" s="12" t="s">
        <v>88</v>
      </c>
      <c r="Q41" s="12" t="s">
        <v>89</v>
      </c>
      <c r="R41" s="12" t="s">
        <v>90</v>
      </c>
      <c r="S41" s="12" t="s">
        <v>91</v>
      </c>
      <c r="T41" s="12" t="s">
        <v>92</v>
      </c>
    </row>
    <row r="42" spans="1:20" x14ac:dyDescent="0.3">
      <c r="A42" t="s">
        <v>80</v>
      </c>
      <c r="B42">
        <v>0.69935870389635113</v>
      </c>
      <c r="C42">
        <v>9.1873766592034112E-2</v>
      </c>
      <c r="D42">
        <v>7.6121697176285013</v>
      </c>
      <c r="E42">
        <v>3.8363180334311522E-6</v>
      </c>
      <c r="F42">
        <v>0.50087749819974214</v>
      </c>
      <c r="G42">
        <v>0.89783990959296012</v>
      </c>
      <c r="H42">
        <v>0.50087749819974214</v>
      </c>
      <c r="I42">
        <v>0.89783990959296012</v>
      </c>
      <c r="L42" s="10" t="s">
        <v>80</v>
      </c>
      <c r="M42" s="10">
        <v>1.6477221217935916</v>
      </c>
      <c r="N42" s="10">
        <v>0.63042556460221766</v>
      </c>
      <c r="O42" s="10">
        <v>2.6136664093456647</v>
      </c>
      <c r="P42" s="10">
        <v>2.2647965612394443E-2</v>
      </c>
      <c r="Q42" s="10">
        <v>0.27414281348807368</v>
      </c>
      <c r="R42" s="10">
        <v>3.0213014300991095</v>
      </c>
      <c r="S42" s="10">
        <v>0.27414281348807368</v>
      </c>
      <c r="T42" s="10">
        <v>3.0213014300991095</v>
      </c>
    </row>
    <row r="43" spans="1:20" x14ac:dyDescent="0.3">
      <c r="A43" t="s">
        <v>93</v>
      </c>
      <c r="B43">
        <v>9.9655965167389802</v>
      </c>
      <c r="C43">
        <v>1.1698572166910934</v>
      </c>
      <c r="D43">
        <v>8.5186434502890656</v>
      </c>
      <c r="E43">
        <v>1.1168120973063832E-6</v>
      </c>
      <c r="F43">
        <v>7.4382736532627405</v>
      </c>
      <c r="G43">
        <v>12.49291938021522</v>
      </c>
      <c r="H43">
        <v>7.4382736532627405</v>
      </c>
      <c r="I43">
        <v>12.49291938021522</v>
      </c>
      <c r="L43" s="10" t="s">
        <v>93</v>
      </c>
      <c r="M43" s="10">
        <v>6.8036539970237753</v>
      </c>
      <c r="N43" s="10">
        <v>2.3614074197802855</v>
      </c>
      <c r="O43" s="10">
        <v>2.8811859995158371</v>
      </c>
      <c r="P43" s="10">
        <v>1.380017191398024E-2</v>
      </c>
      <c r="Q43" s="10">
        <v>1.6585892147351027</v>
      </c>
      <c r="R43" s="10">
        <v>11.948718779312447</v>
      </c>
      <c r="S43" s="10">
        <v>1.6585892147351027</v>
      </c>
      <c r="T43" s="10">
        <v>11.948718779312447</v>
      </c>
    </row>
    <row r="44" spans="1:20" ht="15" thickBot="1" x14ac:dyDescent="0.35">
      <c r="L44" s="11" t="s">
        <v>129</v>
      </c>
      <c r="M44" s="11">
        <v>-1.2945260033259675E-2</v>
      </c>
      <c r="N44" s="11">
        <v>8.5219406757856553E-3</v>
      </c>
      <c r="O44" s="11">
        <v>-1.5190507098978632</v>
      </c>
      <c r="P44" s="11">
        <v>0.15464877278905212</v>
      </c>
      <c r="Q44" s="11">
        <v>-3.1512973711324471E-2</v>
      </c>
      <c r="R44" s="11">
        <v>5.6224536448051237E-3</v>
      </c>
      <c r="S44" s="11">
        <v>-3.1512973711324471E-2</v>
      </c>
      <c r="T44" s="11">
        <v>5.6224536448051237E-3</v>
      </c>
    </row>
    <row r="45" spans="1:20" x14ac:dyDescent="0.3">
      <c r="L45" s="10"/>
      <c r="M45" s="10"/>
      <c r="N45" s="10"/>
      <c r="O45" s="10"/>
      <c r="P45" s="10"/>
      <c r="Q45" s="10"/>
      <c r="R45" s="10"/>
      <c r="S45" s="10"/>
      <c r="T45" s="10"/>
    </row>
    <row r="47" spans="1:20" x14ac:dyDescent="0.3">
      <c r="A47" t="s">
        <v>123</v>
      </c>
      <c r="I47">
        <f>((C38-N38)/(M37-B37))/(N38/(B39+1-(M37+1)))</f>
        <v>2.3075150592411986</v>
      </c>
      <c r="K47" t="s">
        <v>292</v>
      </c>
    </row>
    <row r="48" spans="1:20" x14ac:dyDescent="0.3">
      <c r="A48" t="s">
        <v>124</v>
      </c>
      <c r="I48">
        <f>_xlfn.F.DIST.RT(I47,B38-M38,M38)</f>
        <v>0.15464877278905251</v>
      </c>
    </row>
    <row r="49" spans="1:17" x14ac:dyDescent="0.3">
      <c r="A49" t="s">
        <v>125</v>
      </c>
    </row>
    <row r="50" spans="1:17" x14ac:dyDescent="0.3">
      <c r="A50" t="s">
        <v>126</v>
      </c>
    </row>
    <row r="53" spans="1:17" x14ac:dyDescent="0.3">
      <c r="A53" t="s">
        <v>127</v>
      </c>
      <c r="L53" t="s">
        <v>283</v>
      </c>
    </row>
    <row r="54" spans="1:17" x14ac:dyDescent="0.3">
      <c r="A54" t="s">
        <v>70</v>
      </c>
      <c r="L54" t="s">
        <v>70</v>
      </c>
    </row>
    <row r="55" spans="1:17" ht="15" thickBot="1" x14ac:dyDescent="0.35"/>
    <row r="56" spans="1:17" x14ac:dyDescent="0.3">
      <c r="A56" s="13" t="s">
        <v>71</v>
      </c>
      <c r="B56" s="13"/>
      <c r="L56" s="13" t="s">
        <v>71</v>
      </c>
      <c r="M56" s="13"/>
    </row>
    <row r="57" spans="1:17" x14ac:dyDescent="0.3">
      <c r="A57" s="10" t="s">
        <v>72</v>
      </c>
      <c r="B57" s="10">
        <v>0.92090867031922363</v>
      </c>
      <c r="L57" s="10" t="s">
        <v>72</v>
      </c>
      <c r="M57" s="10">
        <v>0.93434458448026125</v>
      </c>
    </row>
    <row r="58" spans="1:17" x14ac:dyDescent="0.3">
      <c r="A58" s="10" t="s">
        <v>73</v>
      </c>
      <c r="B58" s="10">
        <v>0.8480727790691206</v>
      </c>
      <c r="L58" s="10" t="s">
        <v>73</v>
      </c>
      <c r="M58" s="10">
        <v>0.87299980254759202</v>
      </c>
    </row>
    <row r="59" spans="1:17" x14ac:dyDescent="0.3">
      <c r="A59" s="10" t="s">
        <v>74</v>
      </c>
      <c r="B59" s="10">
        <v>0.83638606976674523</v>
      </c>
      <c r="L59" s="10" t="s">
        <v>74</v>
      </c>
      <c r="M59" s="10">
        <v>0.83836338506057162</v>
      </c>
    </row>
    <row r="60" spans="1:17" x14ac:dyDescent="0.3">
      <c r="A60" s="10" t="s">
        <v>69</v>
      </c>
      <c r="B60" s="10">
        <v>0.2139818109118744</v>
      </c>
      <c r="L60" s="10" t="s">
        <v>69</v>
      </c>
      <c r="M60" s="10">
        <v>0.21268486866437408</v>
      </c>
    </row>
    <row r="61" spans="1:17" ht="15" thickBot="1" x14ac:dyDescent="0.35">
      <c r="A61" s="11" t="s">
        <v>75</v>
      </c>
      <c r="B61" s="11">
        <v>15</v>
      </c>
      <c r="L61" s="11" t="s">
        <v>75</v>
      </c>
      <c r="M61" s="11">
        <v>15</v>
      </c>
    </row>
    <row r="63" spans="1:17" ht="15" thickBot="1" x14ac:dyDescent="0.35">
      <c r="A63" t="s">
        <v>76</v>
      </c>
      <c r="L63" t="s">
        <v>76</v>
      </c>
    </row>
    <row r="64" spans="1:17" x14ac:dyDescent="0.3">
      <c r="A64" s="12"/>
      <c r="B64" s="12" t="s">
        <v>81</v>
      </c>
      <c r="C64" s="12" t="s">
        <v>82</v>
      </c>
      <c r="D64" s="12" t="s">
        <v>83</v>
      </c>
      <c r="E64" s="12" t="s">
        <v>84</v>
      </c>
      <c r="F64" s="12" t="s">
        <v>85</v>
      </c>
      <c r="L64" s="12"/>
      <c r="M64" s="12" t="s">
        <v>81</v>
      </c>
      <c r="N64" s="12" t="s">
        <v>82</v>
      </c>
      <c r="O64" s="12" t="s">
        <v>83</v>
      </c>
      <c r="P64" s="12" t="s">
        <v>84</v>
      </c>
      <c r="Q64" s="12" t="s">
        <v>85</v>
      </c>
    </row>
    <row r="65" spans="1:20" x14ac:dyDescent="0.3">
      <c r="A65" s="10" t="s">
        <v>77</v>
      </c>
      <c r="B65" s="10">
        <v>1</v>
      </c>
      <c r="C65" s="10">
        <v>3.3227265331187064</v>
      </c>
      <c r="D65" s="10">
        <v>3.3227265331187064</v>
      </c>
      <c r="E65" s="10">
        <v>72.567286233152814</v>
      </c>
      <c r="F65" s="10">
        <v>1.1168120973063813E-6</v>
      </c>
      <c r="L65" s="10" t="s">
        <v>77</v>
      </c>
      <c r="M65" s="10">
        <v>3</v>
      </c>
      <c r="N65" s="10">
        <v>3.4203899463867313</v>
      </c>
      <c r="O65" s="10">
        <v>1.1401299821289104</v>
      </c>
      <c r="P65" s="10">
        <v>25.204679521914745</v>
      </c>
      <c r="Q65" s="10">
        <v>3.1389676659437114E-5</v>
      </c>
    </row>
    <row r="66" spans="1:20" x14ac:dyDescent="0.3">
      <c r="A66" s="10" t="s">
        <v>78</v>
      </c>
      <c r="B66" s="10">
        <v>13</v>
      </c>
      <c r="C66" s="10">
        <v>0.59524680021462728</v>
      </c>
      <c r="D66" s="10">
        <v>4.5788215401125175E-2</v>
      </c>
      <c r="E66" s="10"/>
      <c r="F66" s="10"/>
      <c r="L66" s="10" t="s">
        <v>78</v>
      </c>
      <c r="M66" s="10">
        <v>11</v>
      </c>
      <c r="N66" s="10">
        <v>0.49758338694660253</v>
      </c>
      <c r="O66" s="10">
        <v>4.5234853358782051E-2</v>
      </c>
      <c r="P66" s="10"/>
      <c r="Q66" s="10"/>
    </row>
    <row r="67" spans="1:20" ht="15" thickBot="1" x14ac:dyDescent="0.35">
      <c r="A67" s="11" t="s">
        <v>79</v>
      </c>
      <c r="B67" s="11">
        <v>14</v>
      </c>
      <c r="C67" s="11">
        <v>3.9179733333333338</v>
      </c>
      <c r="D67" s="11"/>
      <c r="E67" s="11"/>
      <c r="F67" s="11"/>
      <c r="L67" s="11" t="s">
        <v>79</v>
      </c>
      <c r="M67" s="11">
        <v>14</v>
      </c>
      <c r="N67" s="11">
        <v>3.9179733333333338</v>
      </c>
      <c r="O67" s="11"/>
      <c r="P67" s="11"/>
      <c r="Q67" s="11"/>
    </row>
    <row r="68" spans="1:20" ht="15" thickBot="1" x14ac:dyDescent="0.35"/>
    <row r="69" spans="1:20" x14ac:dyDescent="0.3">
      <c r="B69" t="s">
        <v>86</v>
      </c>
      <c r="C69" t="s">
        <v>69</v>
      </c>
      <c r="D69" t="s">
        <v>87</v>
      </c>
      <c r="E69" t="s">
        <v>88</v>
      </c>
      <c r="F69" t="s">
        <v>89</v>
      </c>
      <c r="G69" t="s">
        <v>90</v>
      </c>
      <c r="H69" t="s">
        <v>91</v>
      </c>
      <c r="I69" t="s">
        <v>92</v>
      </c>
      <c r="L69" s="12"/>
      <c r="M69" s="12" t="s">
        <v>86</v>
      </c>
      <c r="N69" s="12" t="s">
        <v>69</v>
      </c>
      <c r="O69" s="12" t="s">
        <v>87</v>
      </c>
      <c r="P69" s="12" t="s">
        <v>88</v>
      </c>
      <c r="Q69" s="12" t="s">
        <v>89</v>
      </c>
      <c r="R69" s="12" t="s">
        <v>90</v>
      </c>
      <c r="S69" s="12" t="s">
        <v>91</v>
      </c>
      <c r="T69" s="12" t="s">
        <v>92</v>
      </c>
    </row>
    <row r="70" spans="1:20" x14ac:dyDescent="0.3">
      <c r="A70" t="s">
        <v>80</v>
      </c>
      <c r="B70">
        <v>0.69935870389635113</v>
      </c>
      <c r="C70">
        <v>9.1873766592034112E-2</v>
      </c>
      <c r="D70">
        <v>7.6121697176285013</v>
      </c>
      <c r="E70">
        <v>3.8363180334311522E-6</v>
      </c>
      <c r="F70">
        <v>0.50087749819974214</v>
      </c>
      <c r="G70">
        <v>0.89783990959296012</v>
      </c>
      <c r="H70">
        <v>0.50087749819974214</v>
      </c>
      <c r="I70">
        <v>0.89783990959296012</v>
      </c>
      <c r="L70" s="10" t="s">
        <v>80</v>
      </c>
      <c r="M70" s="10">
        <v>1.6928708915528401</v>
      </c>
      <c r="N70" s="10">
        <v>0.698284759775333</v>
      </c>
      <c r="O70" s="10">
        <v>2.4243274220928241</v>
      </c>
      <c r="P70" s="10">
        <v>3.3747191431131425E-2</v>
      </c>
      <c r="Q70" s="10">
        <v>0.15595649776917764</v>
      </c>
      <c r="R70" s="10">
        <v>3.2297852853365026</v>
      </c>
      <c r="S70" s="10">
        <v>0.15595649776917764</v>
      </c>
      <c r="T70" s="10">
        <v>3.2297852853365026</v>
      </c>
    </row>
    <row r="71" spans="1:20" x14ac:dyDescent="0.3">
      <c r="A71" t="s">
        <v>93</v>
      </c>
      <c r="B71">
        <v>9.9655965167389802</v>
      </c>
      <c r="C71">
        <v>1.1698572166910934</v>
      </c>
      <c r="D71">
        <v>8.5186434502890656</v>
      </c>
      <c r="E71">
        <v>1.1168120973063832E-6</v>
      </c>
      <c r="F71">
        <v>7.4382736532627405</v>
      </c>
      <c r="G71">
        <v>12.49291938021522</v>
      </c>
      <c r="H71">
        <v>7.4382736532627405</v>
      </c>
      <c r="I71">
        <v>12.49291938021522</v>
      </c>
      <c r="L71" s="10" t="s">
        <v>6</v>
      </c>
      <c r="M71" s="10">
        <v>5.6370163416790557</v>
      </c>
      <c r="N71" s="10">
        <v>6.5654778793289443</v>
      </c>
      <c r="O71" s="10">
        <v>0.85858431713354788</v>
      </c>
      <c r="P71" s="10">
        <v>0.40888942263577199</v>
      </c>
      <c r="Q71" s="10">
        <v>-8.8135030396338703</v>
      </c>
      <c r="R71" s="10">
        <v>20.08753572299198</v>
      </c>
      <c r="S71" s="10">
        <v>-8.8135030396338703</v>
      </c>
      <c r="T71" s="10">
        <v>20.08753572299198</v>
      </c>
    </row>
    <row r="72" spans="1:20" x14ac:dyDescent="0.3">
      <c r="L72" s="10" t="s">
        <v>1</v>
      </c>
      <c r="M72" s="10">
        <v>-1.3780443712416508E-2</v>
      </c>
      <c r="N72" s="10">
        <v>9.8967718843278717E-3</v>
      </c>
      <c r="O72" s="10">
        <v>-1.3924180402943975</v>
      </c>
      <c r="P72" s="10">
        <v>0.19130243278372119</v>
      </c>
      <c r="Q72" s="10">
        <v>-3.5563091762634315E-2</v>
      </c>
      <c r="R72" s="10">
        <v>8.0022043378012997E-3</v>
      </c>
      <c r="S72" s="10">
        <v>-3.5563091762634315E-2</v>
      </c>
      <c r="T72" s="10">
        <v>8.0022043378012997E-3</v>
      </c>
    </row>
    <row r="73" spans="1:20" ht="15" thickBot="1" x14ac:dyDescent="0.35">
      <c r="L73" s="11" t="s">
        <v>147</v>
      </c>
      <c r="M73" s="11">
        <v>2.4734923503261987E-2</v>
      </c>
      <c r="N73" s="11">
        <v>0.12904024127690608</v>
      </c>
      <c r="O73" s="11">
        <v>0.19168379769364796</v>
      </c>
      <c r="P73" s="11">
        <v>0.8514823986968536</v>
      </c>
      <c r="Q73" s="11">
        <v>-0.25928073260185275</v>
      </c>
      <c r="R73" s="11">
        <v>0.30875057960837676</v>
      </c>
      <c r="S73" s="11">
        <v>-0.25928073260185275</v>
      </c>
      <c r="T73" s="11">
        <v>0.30875057960837676</v>
      </c>
    </row>
    <row r="76" spans="1:20" x14ac:dyDescent="0.3">
      <c r="A76" t="s">
        <v>123</v>
      </c>
      <c r="I76">
        <f>((C66-N66)/(M65-B65))/(N66/(B67+1-(M65+1)))</f>
        <v>1.0795150864467655</v>
      </c>
      <c r="K76" t="s">
        <v>292</v>
      </c>
    </row>
    <row r="77" spans="1:20" x14ac:dyDescent="0.3">
      <c r="A77" t="s">
        <v>124</v>
      </c>
      <c r="I77">
        <f>_xlfn.F.DIST.RT(I76,B66-M66,M66)</f>
        <v>0.37318863839014565</v>
      </c>
    </row>
    <row r="78" spans="1:20" x14ac:dyDescent="0.3">
      <c r="A78" t="s">
        <v>125</v>
      </c>
    </row>
    <row r="79" spans="1:20" x14ac:dyDescent="0.3">
      <c r="A79" t="s">
        <v>312</v>
      </c>
    </row>
    <row r="85" spans="1:17" x14ac:dyDescent="0.3">
      <c r="A85" t="s">
        <v>148</v>
      </c>
      <c r="L85" t="s">
        <v>283</v>
      </c>
    </row>
    <row r="86" spans="1:17" x14ac:dyDescent="0.3">
      <c r="A86" t="s">
        <v>70</v>
      </c>
      <c r="L86" t="s">
        <v>70</v>
      </c>
    </row>
    <row r="87" spans="1:17" ht="15" thickBot="1" x14ac:dyDescent="0.35"/>
    <row r="88" spans="1:17" x14ac:dyDescent="0.3">
      <c r="A88" s="13" t="s">
        <v>71</v>
      </c>
      <c r="B88" s="13"/>
      <c r="L88" s="13" t="s">
        <v>71</v>
      </c>
      <c r="M88" s="13"/>
    </row>
    <row r="89" spans="1:17" x14ac:dyDescent="0.3">
      <c r="A89" s="10" t="s">
        <v>72</v>
      </c>
      <c r="B89" s="10">
        <v>0.93411754665346169</v>
      </c>
      <c r="L89" s="10" t="s">
        <v>72</v>
      </c>
      <c r="M89" s="10">
        <v>0.93434458448026125</v>
      </c>
    </row>
    <row r="90" spans="1:17" x14ac:dyDescent="0.3">
      <c r="A90" s="10" t="s">
        <v>73</v>
      </c>
      <c r="B90" s="10">
        <v>0.87257559096588211</v>
      </c>
      <c r="L90" s="10" t="s">
        <v>73</v>
      </c>
      <c r="M90" s="10">
        <v>0.87299980254759202</v>
      </c>
    </row>
    <row r="91" spans="1:17" x14ac:dyDescent="0.3">
      <c r="A91" s="10" t="s">
        <v>74</v>
      </c>
      <c r="B91" s="10">
        <v>0.85133818946019579</v>
      </c>
      <c r="L91" s="10" t="s">
        <v>74</v>
      </c>
      <c r="M91" s="10">
        <v>0.83836338506057162</v>
      </c>
    </row>
    <row r="92" spans="1:17" x14ac:dyDescent="0.3">
      <c r="A92" s="10" t="s">
        <v>69</v>
      </c>
      <c r="B92" s="10">
        <v>0.20397006247066282</v>
      </c>
      <c r="L92" s="10" t="s">
        <v>69</v>
      </c>
      <c r="M92" s="10">
        <v>0.21268486866437408</v>
      </c>
    </row>
    <row r="93" spans="1:17" ht="15" thickBot="1" x14ac:dyDescent="0.35">
      <c r="A93" s="11" t="s">
        <v>75</v>
      </c>
      <c r="B93" s="11">
        <v>15</v>
      </c>
      <c r="L93" s="11" t="s">
        <v>75</v>
      </c>
      <c r="M93" s="11">
        <v>15</v>
      </c>
    </row>
    <row r="95" spans="1:17" ht="15" thickBot="1" x14ac:dyDescent="0.35">
      <c r="A95" t="s">
        <v>76</v>
      </c>
      <c r="L95" t="s">
        <v>76</v>
      </c>
    </row>
    <row r="96" spans="1:17" x14ac:dyDescent="0.3">
      <c r="A96" s="12"/>
      <c r="B96" s="12" t="s">
        <v>81</v>
      </c>
      <c r="C96" s="12" t="s">
        <v>82</v>
      </c>
      <c r="D96" s="12" t="s">
        <v>83</v>
      </c>
      <c r="E96" s="12" t="s">
        <v>84</v>
      </c>
      <c r="F96" s="12" t="s">
        <v>85</v>
      </c>
      <c r="L96" s="12"/>
      <c r="M96" s="12" t="s">
        <v>81</v>
      </c>
      <c r="N96" s="12" t="s">
        <v>82</v>
      </c>
      <c r="O96" s="12" t="s">
        <v>83</v>
      </c>
      <c r="P96" s="12" t="s">
        <v>84</v>
      </c>
      <c r="Q96" s="12" t="s">
        <v>85</v>
      </c>
    </row>
    <row r="97" spans="1:20" x14ac:dyDescent="0.3">
      <c r="A97" s="10" t="s">
        <v>77</v>
      </c>
      <c r="B97" s="10">
        <v>2</v>
      </c>
      <c r="C97" s="10">
        <v>3.4187278967219008</v>
      </c>
      <c r="D97" s="10">
        <v>1.7093639483609504</v>
      </c>
      <c r="E97" s="10">
        <v>41.086739859970614</v>
      </c>
      <c r="F97" s="10">
        <v>4.2807096196570034E-6</v>
      </c>
      <c r="L97" s="10" t="s">
        <v>77</v>
      </c>
      <c r="M97" s="10">
        <v>3</v>
      </c>
      <c r="N97" s="10">
        <v>3.4203899463867313</v>
      </c>
      <c r="O97" s="10">
        <v>1.1401299821289104</v>
      </c>
      <c r="P97" s="10">
        <v>25.204679521914745</v>
      </c>
      <c r="Q97" s="10">
        <v>3.1389676659437114E-5</v>
      </c>
    </row>
    <row r="98" spans="1:20" x14ac:dyDescent="0.3">
      <c r="A98" s="10" t="s">
        <v>78</v>
      </c>
      <c r="B98" s="10">
        <v>12</v>
      </c>
      <c r="C98" s="10">
        <v>0.49924543661143317</v>
      </c>
      <c r="D98" s="10">
        <v>4.16037863842861E-2</v>
      </c>
      <c r="E98" s="10"/>
      <c r="F98" s="10"/>
      <c r="L98" s="10" t="s">
        <v>78</v>
      </c>
      <c r="M98" s="10">
        <v>11</v>
      </c>
      <c r="N98" s="10">
        <v>0.49758338694660253</v>
      </c>
      <c r="O98" s="10">
        <v>4.5234853358782051E-2</v>
      </c>
      <c r="P98" s="10"/>
      <c r="Q98" s="10"/>
    </row>
    <row r="99" spans="1:20" ht="15" thickBot="1" x14ac:dyDescent="0.35">
      <c r="A99" s="11" t="s">
        <v>79</v>
      </c>
      <c r="B99" s="11">
        <v>14</v>
      </c>
      <c r="C99" s="11">
        <v>3.9179733333333342</v>
      </c>
      <c r="D99" s="11"/>
      <c r="E99" s="11"/>
      <c r="F99" s="11"/>
      <c r="L99" s="11" t="s">
        <v>79</v>
      </c>
      <c r="M99" s="11">
        <v>14</v>
      </c>
      <c r="N99" s="11">
        <v>3.9179733333333338</v>
      </c>
      <c r="O99" s="11"/>
      <c r="P99" s="11"/>
      <c r="Q99" s="11"/>
    </row>
    <row r="100" spans="1:20" ht="15" thickBot="1" x14ac:dyDescent="0.35"/>
    <row r="101" spans="1:20" x14ac:dyDescent="0.3">
      <c r="A101" s="12"/>
      <c r="B101" s="12" t="s">
        <v>86</v>
      </c>
      <c r="C101" s="12" t="s">
        <v>69</v>
      </c>
      <c r="D101" s="12" t="s">
        <v>87</v>
      </c>
      <c r="E101" s="12" t="s">
        <v>88</v>
      </c>
      <c r="F101" s="12" t="s">
        <v>89</v>
      </c>
      <c r="G101" s="12" t="s">
        <v>90</v>
      </c>
      <c r="H101" s="12" t="s">
        <v>91</v>
      </c>
      <c r="I101" s="12" t="s">
        <v>92</v>
      </c>
      <c r="L101" s="12"/>
      <c r="M101" s="12" t="s">
        <v>86</v>
      </c>
      <c r="N101" s="12" t="s">
        <v>69</v>
      </c>
      <c r="O101" s="12" t="s">
        <v>87</v>
      </c>
      <c r="P101" s="12" t="s">
        <v>88</v>
      </c>
      <c r="Q101" s="12" t="s">
        <v>89</v>
      </c>
      <c r="R101" s="12" t="s">
        <v>90</v>
      </c>
      <c r="S101" s="12" t="s">
        <v>91</v>
      </c>
      <c r="T101" s="12" t="s">
        <v>92</v>
      </c>
    </row>
    <row r="102" spans="1:20" x14ac:dyDescent="0.3">
      <c r="A102" s="10" t="s">
        <v>80</v>
      </c>
      <c r="B102" s="10">
        <v>1.6477221217935916</v>
      </c>
      <c r="C102" s="10">
        <v>0.63042556460221766</v>
      </c>
      <c r="D102" s="10">
        <v>2.6136664093456647</v>
      </c>
      <c r="E102" s="10">
        <v>2.2647965612394443E-2</v>
      </c>
      <c r="F102" s="10">
        <v>0.27414281348807368</v>
      </c>
      <c r="G102" s="10">
        <v>3.0213014300991095</v>
      </c>
      <c r="H102" s="10">
        <v>0.27414281348807368</v>
      </c>
      <c r="I102" s="10">
        <v>3.0213014300991095</v>
      </c>
      <c r="L102" s="10" t="s">
        <v>80</v>
      </c>
      <c r="M102" s="10">
        <v>1.6928708915528401</v>
      </c>
      <c r="N102" s="10">
        <v>0.698284759775333</v>
      </c>
      <c r="O102" s="10">
        <v>2.4243274220928241</v>
      </c>
      <c r="P102" s="10">
        <v>3.3747191431131425E-2</v>
      </c>
      <c r="Q102" s="10">
        <v>0.15595649776917764</v>
      </c>
      <c r="R102" s="10">
        <v>3.2297852853365026</v>
      </c>
      <c r="S102" s="10">
        <v>0.15595649776917764</v>
      </c>
      <c r="T102" s="10">
        <v>3.2297852853365026</v>
      </c>
    </row>
    <row r="103" spans="1:20" x14ac:dyDescent="0.3">
      <c r="A103" s="10" t="s">
        <v>6</v>
      </c>
      <c r="B103" s="10">
        <v>6.8036539970237753</v>
      </c>
      <c r="C103" s="10">
        <v>2.3614074197802855</v>
      </c>
      <c r="D103" s="10">
        <v>2.8811859995158371</v>
      </c>
      <c r="E103" s="10">
        <v>1.380017191398024E-2</v>
      </c>
      <c r="F103" s="10">
        <v>1.6585892147351027</v>
      </c>
      <c r="G103" s="10">
        <v>11.948718779312447</v>
      </c>
      <c r="H103" s="10">
        <v>1.6585892147351027</v>
      </c>
      <c r="I103" s="10">
        <v>11.948718779312447</v>
      </c>
      <c r="L103" s="10" t="s">
        <v>6</v>
      </c>
      <c r="M103" s="10">
        <v>5.6370163416790557</v>
      </c>
      <c r="N103" s="10">
        <v>6.5654778793289443</v>
      </c>
      <c r="O103" s="10">
        <v>0.85858431713354788</v>
      </c>
      <c r="P103" s="10">
        <v>0.40888942263577199</v>
      </c>
      <c r="Q103" s="10">
        <v>-8.8135030396338703</v>
      </c>
      <c r="R103" s="10">
        <v>20.08753572299198</v>
      </c>
      <c r="S103" s="10">
        <v>-8.8135030396338703</v>
      </c>
      <c r="T103" s="10">
        <v>20.08753572299198</v>
      </c>
    </row>
    <row r="104" spans="1:20" ht="15" thickBot="1" x14ac:dyDescent="0.35">
      <c r="A104" s="11" t="s">
        <v>1</v>
      </c>
      <c r="B104" s="11">
        <v>-1.2945260033259675E-2</v>
      </c>
      <c r="C104" s="11">
        <v>8.5219406757856553E-3</v>
      </c>
      <c r="D104" s="11">
        <v>-1.5190507098978632</v>
      </c>
      <c r="E104" s="11">
        <v>0.15464877278905212</v>
      </c>
      <c r="F104" s="11">
        <v>-3.1512973711324471E-2</v>
      </c>
      <c r="G104" s="11">
        <v>5.6224536448051237E-3</v>
      </c>
      <c r="H104" s="11">
        <v>-3.1512973711324471E-2</v>
      </c>
      <c r="I104" s="11">
        <v>5.6224536448051237E-3</v>
      </c>
      <c r="L104" s="10" t="s">
        <v>1</v>
      </c>
      <c r="M104" s="10">
        <v>-1.3780443712416508E-2</v>
      </c>
      <c r="N104" s="10">
        <v>9.8967718843278717E-3</v>
      </c>
      <c r="O104" s="10">
        <v>-1.3924180402943975</v>
      </c>
      <c r="P104" s="10">
        <v>0.19130243278372119</v>
      </c>
      <c r="Q104" s="10">
        <v>-3.5563091762634315E-2</v>
      </c>
      <c r="R104" s="10">
        <v>8.0022043378012997E-3</v>
      </c>
      <c r="S104" s="10">
        <v>-3.5563091762634315E-2</v>
      </c>
      <c r="T104" s="10">
        <v>8.0022043378012997E-3</v>
      </c>
    </row>
    <row r="105" spans="1:20" ht="15" thickBot="1" x14ac:dyDescent="0.35">
      <c r="L105" s="11" t="s">
        <v>147</v>
      </c>
      <c r="M105" s="11">
        <v>2.4734923503261987E-2</v>
      </c>
      <c r="N105" s="11">
        <v>0.12904024127690608</v>
      </c>
      <c r="O105" s="11">
        <v>0.19168379769364796</v>
      </c>
      <c r="P105" s="11">
        <v>0.8514823986968536</v>
      </c>
      <c r="Q105" s="11">
        <v>-0.25928073260185275</v>
      </c>
      <c r="R105" s="11">
        <v>0.30875057960837676</v>
      </c>
      <c r="S105" s="11">
        <v>-0.25928073260185275</v>
      </c>
      <c r="T105" s="11">
        <v>0.30875057960837676</v>
      </c>
    </row>
    <row r="108" spans="1:20" x14ac:dyDescent="0.3">
      <c r="A108" t="s">
        <v>123</v>
      </c>
      <c r="I108">
        <f>((C98-N98)/(M97-B97))/(N98/(B99+1-(M97+1)))</f>
        <v>3.6742678298258655E-2</v>
      </c>
      <c r="K108" t="s">
        <v>292</v>
      </c>
    </row>
    <row r="109" spans="1:20" x14ac:dyDescent="0.3">
      <c r="A109" t="s">
        <v>124</v>
      </c>
      <c r="I109">
        <f>_xlfn.F.DIST.RT(I108,B98-M98,M98)</f>
        <v>0.85148239869685494</v>
      </c>
    </row>
    <row r="110" spans="1:20" x14ac:dyDescent="0.3">
      <c r="A110" t="s">
        <v>125</v>
      </c>
    </row>
    <row r="111" spans="1:20" x14ac:dyDescent="0.3">
      <c r="A111" t="s">
        <v>307</v>
      </c>
    </row>
    <row r="114" spans="1:17" x14ac:dyDescent="0.3">
      <c r="A114" t="s">
        <v>127</v>
      </c>
      <c r="L114" t="s">
        <v>149</v>
      </c>
    </row>
    <row r="115" spans="1:17" x14ac:dyDescent="0.3">
      <c r="A115" t="s">
        <v>70</v>
      </c>
      <c r="L115" t="s">
        <v>70</v>
      </c>
    </row>
    <row r="116" spans="1:17" ht="15" thickBot="1" x14ac:dyDescent="0.35"/>
    <row r="117" spans="1:17" x14ac:dyDescent="0.3">
      <c r="A117" s="13" t="s">
        <v>71</v>
      </c>
      <c r="B117" s="13"/>
      <c r="L117" s="13" t="s">
        <v>71</v>
      </c>
      <c r="M117" s="13"/>
    </row>
    <row r="118" spans="1:17" x14ac:dyDescent="0.3">
      <c r="A118" s="10" t="s">
        <v>72</v>
      </c>
      <c r="B118" s="10">
        <v>0.92090867031922363</v>
      </c>
      <c r="L118" s="10" t="s">
        <v>72</v>
      </c>
      <c r="M118" s="10">
        <v>0.92228797954436126</v>
      </c>
    </row>
    <row r="119" spans="1:17" x14ac:dyDescent="0.3">
      <c r="A119" s="10" t="s">
        <v>73</v>
      </c>
      <c r="B119" s="10">
        <v>0.8480727790691206</v>
      </c>
      <c r="L119" s="10" t="s">
        <v>73</v>
      </c>
      <c r="M119" s="10">
        <v>0.8506151172120201</v>
      </c>
    </row>
    <row r="120" spans="1:17" x14ac:dyDescent="0.3">
      <c r="A120" s="10" t="s">
        <v>74</v>
      </c>
      <c r="B120" s="10">
        <v>0.83638606976674523</v>
      </c>
      <c r="L120" s="10" t="s">
        <v>74</v>
      </c>
      <c r="M120" s="10">
        <v>0.82571763674735676</v>
      </c>
    </row>
    <row r="121" spans="1:17" x14ac:dyDescent="0.3">
      <c r="A121" s="10" t="s">
        <v>69</v>
      </c>
      <c r="B121" s="10">
        <v>0.2139818109118744</v>
      </c>
      <c r="L121" s="10" t="s">
        <v>69</v>
      </c>
      <c r="M121" s="10">
        <v>0.22084798451393953</v>
      </c>
    </row>
    <row r="122" spans="1:17" ht="15" thickBot="1" x14ac:dyDescent="0.35">
      <c r="A122" s="11" t="s">
        <v>75</v>
      </c>
      <c r="B122" s="11">
        <v>15</v>
      </c>
      <c r="L122" s="11" t="s">
        <v>75</v>
      </c>
      <c r="M122" s="11">
        <v>15</v>
      </c>
    </row>
    <row r="124" spans="1:17" ht="15" thickBot="1" x14ac:dyDescent="0.35">
      <c r="A124" t="s">
        <v>76</v>
      </c>
      <c r="L124" t="s">
        <v>76</v>
      </c>
    </row>
    <row r="125" spans="1:17" x14ac:dyDescent="0.3">
      <c r="A125" s="12"/>
      <c r="B125" s="12" t="s">
        <v>81</v>
      </c>
      <c r="C125" s="12" t="s">
        <v>82</v>
      </c>
      <c r="D125" s="12" t="s">
        <v>83</v>
      </c>
      <c r="E125" s="12" t="s">
        <v>84</v>
      </c>
      <c r="F125" s="12" t="s">
        <v>85</v>
      </c>
      <c r="L125" s="12"/>
      <c r="M125" s="12" t="s">
        <v>81</v>
      </c>
      <c r="N125" s="12" t="s">
        <v>82</v>
      </c>
      <c r="O125" s="12" t="s">
        <v>83</v>
      </c>
      <c r="P125" s="12" t="s">
        <v>84</v>
      </c>
      <c r="Q125" s="12" t="s">
        <v>85</v>
      </c>
    </row>
    <row r="126" spans="1:17" x14ac:dyDescent="0.3">
      <c r="A126" s="10" t="s">
        <v>77</v>
      </c>
      <c r="B126" s="10">
        <v>1</v>
      </c>
      <c r="C126" s="10">
        <v>3.3227265331187064</v>
      </c>
      <c r="D126" s="10">
        <v>3.3227265331187064</v>
      </c>
      <c r="E126" s="10">
        <v>72.567286233152814</v>
      </c>
      <c r="F126" s="10">
        <v>1.1168120973063813E-6</v>
      </c>
      <c r="L126" s="10" t="s">
        <v>77</v>
      </c>
      <c r="M126" s="10">
        <v>2</v>
      </c>
      <c r="N126" s="10">
        <v>3.3326873461669027</v>
      </c>
      <c r="O126" s="10">
        <v>1.6663436730834513</v>
      </c>
      <c r="P126" s="10">
        <v>34.16470668264153</v>
      </c>
      <c r="Q126" s="10">
        <v>1.1113219799462375E-5</v>
      </c>
    </row>
    <row r="127" spans="1:17" x14ac:dyDescent="0.3">
      <c r="A127" s="10" t="s">
        <v>78</v>
      </c>
      <c r="B127" s="10">
        <v>13</v>
      </c>
      <c r="C127" s="10">
        <v>0.59524680021462728</v>
      </c>
      <c r="D127" s="10">
        <v>4.5788215401125175E-2</v>
      </c>
      <c r="E127" s="10"/>
      <c r="F127" s="10"/>
      <c r="L127" s="10" t="s">
        <v>78</v>
      </c>
      <c r="M127" s="10">
        <v>12</v>
      </c>
      <c r="N127" s="10">
        <v>0.58528598716643121</v>
      </c>
      <c r="O127" s="10">
        <v>4.877383226386927E-2</v>
      </c>
      <c r="P127" s="10"/>
      <c r="Q127" s="10"/>
    </row>
    <row r="128" spans="1:17" ht="15" thickBot="1" x14ac:dyDescent="0.35">
      <c r="A128" s="11" t="s">
        <v>79</v>
      </c>
      <c r="B128" s="11">
        <v>14</v>
      </c>
      <c r="C128" s="11">
        <v>3.9179733333333338</v>
      </c>
      <c r="D128" s="11"/>
      <c r="E128" s="11"/>
      <c r="F128" s="11"/>
      <c r="L128" s="11" t="s">
        <v>79</v>
      </c>
      <c r="M128" s="11">
        <v>14</v>
      </c>
      <c r="N128" s="11">
        <v>3.9179733333333338</v>
      </c>
      <c r="O128" s="11"/>
      <c r="P128" s="11"/>
      <c r="Q128" s="11"/>
    </row>
    <row r="129" spans="1:20" ht="15" thickBot="1" x14ac:dyDescent="0.35"/>
    <row r="130" spans="1:20" x14ac:dyDescent="0.3">
      <c r="B130" t="s">
        <v>86</v>
      </c>
      <c r="C130" t="s">
        <v>69</v>
      </c>
      <c r="D130" t="s">
        <v>87</v>
      </c>
      <c r="E130" t="s">
        <v>88</v>
      </c>
      <c r="F130" t="s">
        <v>89</v>
      </c>
      <c r="G130" t="s">
        <v>90</v>
      </c>
      <c r="H130" t="s">
        <v>91</v>
      </c>
      <c r="I130" t="s">
        <v>92</v>
      </c>
      <c r="L130" s="12"/>
      <c r="M130" s="12" t="s">
        <v>86</v>
      </c>
      <c r="N130" s="12" t="s">
        <v>69</v>
      </c>
      <c r="O130" s="12" t="s">
        <v>87</v>
      </c>
      <c r="P130" s="12" t="s">
        <v>88</v>
      </c>
      <c r="Q130" s="12" t="s">
        <v>89</v>
      </c>
      <c r="R130" s="12" t="s">
        <v>90</v>
      </c>
      <c r="S130" s="12" t="s">
        <v>91</v>
      </c>
      <c r="T130" s="12" t="s">
        <v>92</v>
      </c>
    </row>
    <row r="131" spans="1:20" x14ac:dyDescent="0.3">
      <c r="A131" t="s">
        <v>80</v>
      </c>
      <c r="B131">
        <v>0.69935870389635113</v>
      </c>
      <c r="C131">
        <v>9.1873766592034112E-2</v>
      </c>
      <c r="D131">
        <v>7.6121697176285013</v>
      </c>
      <c r="E131">
        <v>3.8363180334311522E-6</v>
      </c>
      <c r="F131">
        <v>0.50087749819974214</v>
      </c>
      <c r="G131">
        <v>0.89783990959296012</v>
      </c>
      <c r="H131">
        <v>0.50087749819974214</v>
      </c>
      <c r="I131">
        <v>0.89783990959296012</v>
      </c>
      <c r="L131" s="10" t="s">
        <v>80</v>
      </c>
      <c r="M131" s="10">
        <v>0.73460770325685609</v>
      </c>
      <c r="N131" s="10">
        <v>0.12278078237262986</v>
      </c>
      <c r="O131" s="10">
        <v>5.9830837453648114</v>
      </c>
      <c r="P131" s="10">
        <v>6.3803461191019482E-5</v>
      </c>
      <c r="Q131" s="10">
        <v>0.46709135938679025</v>
      </c>
      <c r="R131" s="10">
        <v>1.0021240471269219</v>
      </c>
      <c r="S131" s="10">
        <v>0.46709135938679025</v>
      </c>
      <c r="T131" s="10">
        <v>1.0021240471269219</v>
      </c>
    </row>
    <row r="132" spans="1:20" x14ac:dyDescent="0.3">
      <c r="A132" t="s">
        <v>93</v>
      </c>
      <c r="B132">
        <v>9.9655965167389802</v>
      </c>
      <c r="C132">
        <v>1.1698572166910934</v>
      </c>
      <c r="D132">
        <v>8.5186434502890656</v>
      </c>
      <c r="E132">
        <v>1.1168120973063832E-6</v>
      </c>
      <c r="F132">
        <v>7.4382736532627405</v>
      </c>
      <c r="G132">
        <v>12.49291938021522</v>
      </c>
      <c r="H132">
        <v>7.4382736532627405</v>
      </c>
      <c r="I132">
        <v>12.49291938021522</v>
      </c>
      <c r="L132" s="10" t="s">
        <v>6</v>
      </c>
      <c r="M132" s="10">
        <v>12.081541675410293</v>
      </c>
      <c r="N132" s="10">
        <v>4.8353748246075927</v>
      </c>
      <c r="O132" s="10">
        <v>2.4985739707139976</v>
      </c>
      <c r="P132" s="10">
        <v>2.7988522246740106E-2</v>
      </c>
      <c r="Q132" s="10">
        <v>1.5461649713053447</v>
      </c>
      <c r="R132" s="10">
        <v>22.616918379515241</v>
      </c>
      <c r="S132" s="10">
        <v>1.5461649713053447</v>
      </c>
      <c r="T132" s="10">
        <v>22.616918379515241</v>
      </c>
    </row>
    <row r="133" spans="1:20" ht="15" thickBot="1" x14ac:dyDescent="0.35">
      <c r="L133" s="11" t="s">
        <v>147</v>
      </c>
      <c r="M133" s="11">
        <v>-5.4368966617243823E-2</v>
      </c>
      <c r="N133" s="11">
        <v>0.12030872497437667</v>
      </c>
      <c r="O133" s="11">
        <v>-0.45191208392261922</v>
      </c>
      <c r="P133" s="11">
        <v>0.65939206535293349</v>
      </c>
      <c r="Q133" s="11">
        <v>-0.31649916011232182</v>
      </c>
      <c r="R133" s="11">
        <v>0.20776122687783416</v>
      </c>
      <c r="S133" s="11">
        <v>-0.31649916011232182</v>
      </c>
      <c r="T133" s="11">
        <v>0.20776122687783416</v>
      </c>
    </row>
    <row r="137" spans="1:20" x14ac:dyDescent="0.3">
      <c r="A137" t="s">
        <v>123</v>
      </c>
      <c r="I137">
        <f>((C127-N127)/(M126-B126))/(N127/(B128+1-(M126+1)))</f>
        <v>0.20422453159529261</v>
      </c>
      <c r="K137" t="s">
        <v>292</v>
      </c>
    </row>
    <row r="138" spans="1:20" x14ac:dyDescent="0.3">
      <c r="A138" t="s">
        <v>124</v>
      </c>
      <c r="I138">
        <f>_xlfn.F.DIST.RT(I137,B127-M127,M127)</f>
        <v>0.65939206535292727</v>
      </c>
    </row>
    <row r="139" spans="1:20" x14ac:dyDescent="0.3">
      <c r="A139" t="s">
        <v>125</v>
      </c>
    </row>
    <row r="140" spans="1:20" x14ac:dyDescent="0.3">
      <c r="A140" t="s">
        <v>307</v>
      </c>
    </row>
    <row r="144" spans="1:20" x14ac:dyDescent="0.3">
      <c r="A144" s="7"/>
      <c r="B144" s="7"/>
      <c r="C144" s="7"/>
      <c r="D144" s="7"/>
      <c r="E144" s="7"/>
      <c r="F144" s="7"/>
      <c r="G144" s="7"/>
      <c r="H144" s="7"/>
      <c r="I144" s="7"/>
    </row>
    <row r="145" spans="1:9" x14ac:dyDescent="0.3">
      <c r="A145" s="7"/>
      <c r="B145" s="7"/>
      <c r="C145" s="7"/>
      <c r="D145" s="7"/>
      <c r="E145" s="7"/>
      <c r="F145" s="7"/>
      <c r="G145" s="7"/>
      <c r="H145" s="7"/>
      <c r="I145" s="7"/>
    </row>
    <row r="146" spans="1:9" x14ac:dyDescent="0.3">
      <c r="A146" s="7"/>
      <c r="B146" s="7"/>
      <c r="C146" s="7"/>
      <c r="D146" s="7"/>
      <c r="E146" s="7"/>
      <c r="F146" s="7"/>
      <c r="G146" s="7"/>
      <c r="H146" s="7"/>
      <c r="I146" s="7"/>
    </row>
    <row r="147" spans="1:9" x14ac:dyDescent="0.3">
      <c r="A147" s="24"/>
      <c r="B147" s="24"/>
      <c r="C147" s="7"/>
      <c r="D147" s="7"/>
      <c r="E147" s="7"/>
      <c r="F147" s="7"/>
      <c r="G147" s="7"/>
      <c r="H147" s="7"/>
      <c r="I147" s="7"/>
    </row>
    <row r="148" spans="1:9" x14ac:dyDescent="0.3">
      <c r="A148" s="10"/>
      <c r="B148" s="10"/>
      <c r="C148" s="7"/>
      <c r="D148" s="7"/>
      <c r="E148" s="7"/>
      <c r="F148" s="7"/>
      <c r="G148" s="7"/>
      <c r="H148" s="7"/>
      <c r="I148" s="7"/>
    </row>
    <row r="149" spans="1:9" x14ac:dyDescent="0.3">
      <c r="A149" s="10"/>
      <c r="B149" s="10"/>
      <c r="C149" s="7"/>
      <c r="D149" s="7"/>
      <c r="E149" s="7"/>
      <c r="F149" s="7"/>
      <c r="G149" s="7"/>
      <c r="H149" s="7"/>
      <c r="I149" s="7"/>
    </row>
    <row r="150" spans="1:9" x14ac:dyDescent="0.3">
      <c r="A150" s="10"/>
      <c r="B150" s="10"/>
      <c r="C150" s="7"/>
      <c r="D150" s="7"/>
      <c r="E150" s="7"/>
      <c r="F150" s="7"/>
      <c r="G150" s="7"/>
      <c r="H150" s="7"/>
      <c r="I150" s="7"/>
    </row>
    <row r="151" spans="1:9" x14ac:dyDescent="0.3">
      <c r="A151" s="10"/>
      <c r="B151" s="10"/>
      <c r="C151" s="7"/>
      <c r="D151" s="7"/>
      <c r="E151" s="7"/>
      <c r="F151" s="7"/>
      <c r="G151" s="7"/>
      <c r="H151" s="7"/>
      <c r="I151" s="7"/>
    </row>
    <row r="152" spans="1:9" x14ac:dyDescent="0.3">
      <c r="A152" s="10"/>
      <c r="B152" s="10"/>
      <c r="C152" s="7"/>
      <c r="D152" s="7"/>
      <c r="E152" s="7"/>
      <c r="F152" s="7"/>
      <c r="G152" s="7"/>
      <c r="H152" s="7"/>
      <c r="I152" s="7"/>
    </row>
    <row r="153" spans="1:9" x14ac:dyDescent="0.3">
      <c r="A153" s="7"/>
      <c r="B153" s="7"/>
      <c r="C153" s="7"/>
      <c r="D153" s="7"/>
      <c r="E153" s="7"/>
      <c r="F153" s="7"/>
      <c r="G153" s="7"/>
      <c r="H153" s="7"/>
      <c r="I153" s="7"/>
    </row>
    <row r="154" spans="1:9" x14ac:dyDescent="0.3">
      <c r="A154" s="7"/>
      <c r="B154" s="7"/>
      <c r="C154" s="7"/>
      <c r="D154" s="7"/>
      <c r="E154" s="7"/>
      <c r="F154" s="7"/>
      <c r="G154" s="7"/>
      <c r="H154" s="7"/>
      <c r="I154" s="7"/>
    </row>
    <row r="155" spans="1:9" x14ac:dyDescent="0.3">
      <c r="A155" s="25"/>
      <c r="B155" s="25"/>
      <c r="C155" s="25"/>
      <c r="D155" s="25"/>
      <c r="E155" s="25"/>
      <c r="F155" s="25"/>
      <c r="G155" s="7"/>
      <c r="H155" s="7"/>
      <c r="I155" s="7"/>
    </row>
    <row r="156" spans="1:9" x14ac:dyDescent="0.3">
      <c r="A156" s="10"/>
      <c r="B156" s="10"/>
      <c r="C156" s="10"/>
      <c r="D156" s="10"/>
      <c r="E156" s="10"/>
      <c r="F156" s="10"/>
      <c r="G156" s="7"/>
      <c r="H156" s="7"/>
      <c r="I156" s="7"/>
    </row>
    <row r="157" spans="1:9" x14ac:dyDescent="0.3">
      <c r="A157" s="10"/>
      <c r="B157" s="10"/>
      <c r="C157" s="10"/>
      <c r="D157" s="10"/>
      <c r="E157" s="10"/>
      <c r="F157" s="10"/>
      <c r="G157" s="7"/>
      <c r="H157" s="7"/>
      <c r="I157" s="7"/>
    </row>
    <row r="158" spans="1:9" x14ac:dyDescent="0.3">
      <c r="A158" s="10"/>
      <c r="B158" s="10"/>
      <c r="C158" s="10"/>
      <c r="D158" s="10"/>
      <c r="E158" s="10"/>
      <c r="F158" s="10"/>
      <c r="G158" s="7"/>
      <c r="H158" s="7"/>
      <c r="I158" s="7"/>
    </row>
    <row r="159" spans="1:9" x14ac:dyDescent="0.3">
      <c r="A159" s="7"/>
      <c r="B159" s="7"/>
      <c r="C159" s="7"/>
      <c r="D159" s="7"/>
      <c r="E159" s="7"/>
      <c r="F159" s="7"/>
      <c r="G159" s="7"/>
      <c r="H159" s="7"/>
      <c r="I159" s="7"/>
    </row>
    <row r="160" spans="1:9" x14ac:dyDescent="0.3">
      <c r="A160" s="25"/>
      <c r="B160" s="25"/>
      <c r="C160" s="25"/>
      <c r="D160" s="25"/>
      <c r="E160" s="25"/>
      <c r="F160" s="25"/>
      <c r="G160" s="25"/>
      <c r="H160" s="25"/>
      <c r="I160" s="25"/>
    </row>
    <row r="161" spans="1:9" x14ac:dyDescent="0.3">
      <c r="A161" s="10"/>
      <c r="B161" s="10"/>
      <c r="C161" s="10"/>
      <c r="D161" s="10"/>
      <c r="E161" s="10"/>
      <c r="F161" s="10"/>
      <c r="G161" s="10"/>
      <c r="H161" s="10"/>
      <c r="I161" s="10"/>
    </row>
    <row r="162" spans="1:9" x14ac:dyDescent="0.3">
      <c r="A162" s="10"/>
      <c r="B162" s="10"/>
      <c r="C162" s="10"/>
      <c r="D162" s="10"/>
      <c r="E162" s="10"/>
      <c r="F162" s="10"/>
      <c r="G162" s="10"/>
      <c r="H162" s="10"/>
      <c r="I162" s="10"/>
    </row>
    <row r="163" spans="1:9" x14ac:dyDescent="0.3">
      <c r="A163" s="10"/>
      <c r="B163" s="10"/>
      <c r="C163" s="10"/>
      <c r="D163" s="10"/>
      <c r="E163" s="10"/>
      <c r="F163" s="10"/>
      <c r="G163" s="10"/>
      <c r="H163" s="10"/>
      <c r="I163" s="10"/>
    </row>
    <row r="164" spans="1:9" x14ac:dyDescent="0.3">
      <c r="A164" s="10"/>
      <c r="B164" s="10"/>
      <c r="C164" s="10"/>
      <c r="D164" s="10"/>
      <c r="E164" s="10"/>
      <c r="F164" s="10"/>
      <c r="G164" s="10"/>
      <c r="H164" s="10"/>
      <c r="I164" s="10"/>
    </row>
  </sheetData>
  <hyperlinks>
    <hyperlink ref="A2" r:id="rId1"/>
  </hyperlinks>
  <pageMargins left="0.7" right="0.7" top="0.75" bottom="0.75" header="0.3" footer="0.3"/>
  <pageSetup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2"/>
  <sheetViews>
    <sheetView topLeftCell="A10" workbookViewId="0">
      <selection activeCell="K76" sqref="K76"/>
    </sheetView>
  </sheetViews>
  <sheetFormatPr defaultRowHeight="14.4" x14ac:dyDescent="0.3"/>
  <sheetData>
    <row r="1" spans="1:9" x14ac:dyDescent="0.3">
      <c r="A1" t="s">
        <v>199</v>
      </c>
      <c r="B1" t="s">
        <v>202</v>
      </c>
    </row>
    <row r="4" spans="1:9" x14ac:dyDescent="0.3">
      <c r="A4" t="s">
        <v>204</v>
      </c>
      <c r="B4" t="s">
        <v>105</v>
      </c>
      <c r="C4" t="s">
        <v>151</v>
      </c>
      <c r="D4" t="s">
        <v>107</v>
      </c>
      <c r="E4" t="s">
        <v>119</v>
      </c>
      <c r="F4" t="s">
        <v>117</v>
      </c>
      <c r="G4" t="s">
        <v>159</v>
      </c>
      <c r="H4" t="s">
        <v>106</v>
      </c>
      <c r="I4" t="s">
        <v>160</v>
      </c>
    </row>
    <row r="5" spans="1:9" s="2" customFormat="1" x14ac:dyDescent="0.3">
      <c r="A5" s="2" t="s">
        <v>156</v>
      </c>
      <c r="B5" s="2" t="s">
        <v>1</v>
      </c>
      <c r="C5" s="2" t="s">
        <v>6</v>
      </c>
      <c r="D5" s="2" t="s">
        <v>1</v>
      </c>
      <c r="E5" s="2" t="s">
        <v>22</v>
      </c>
      <c r="F5" s="2" t="s">
        <v>22</v>
      </c>
      <c r="G5" s="2" t="s">
        <v>22</v>
      </c>
      <c r="H5" s="2" t="s">
        <v>1</v>
      </c>
      <c r="I5" s="2" t="s">
        <v>157</v>
      </c>
    </row>
    <row r="6" spans="1:9" x14ac:dyDescent="0.3">
      <c r="A6">
        <v>1</v>
      </c>
      <c r="B6">
        <v>1.8</v>
      </c>
      <c r="C6">
        <v>0.41</v>
      </c>
      <c r="D6">
        <v>45.5</v>
      </c>
      <c r="E6">
        <v>9.5</v>
      </c>
      <c r="F6">
        <v>4.0999999999999996</v>
      </c>
      <c r="H6">
        <v>0</v>
      </c>
      <c r="I6" t="s">
        <v>158</v>
      </c>
    </row>
    <row r="7" spans="1:9" x14ac:dyDescent="0.3">
      <c r="A7">
        <v>2</v>
      </c>
      <c r="B7">
        <v>5.8</v>
      </c>
      <c r="C7">
        <v>0.37</v>
      </c>
      <c r="D7">
        <v>36.4</v>
      </c>
      <c r="E7">
        <v>9</v>
      </c>
      <c r="F7">
        <v>4</v>
      </c>
      <c r="G7">
        <v>3.6</v>
      </c>
      <c r="H7">
        <v>0</v>
      </c>
      <c r="I7">
        <v>97.3</v>
      </c>
    </row>
    <row r="8" spans="1:9" x14ac:dyDescent="0.3">
      <c r="A8">
        <v>3</v>
      </c>
      <c r="B8">
        <v>8.3000000000000007</v>
      </c>
      <c r="C8">
        <v>0.35299999999999998</v>
      </c>
      <c r="D8">
        <v>30.2</v>
      </c>
      <c r="E8">
        <v>9.3000000000000007</v>
      </c>
      <c r="F8">
        <v>4</v>
      </c>
      <c r="G8">
        <v>3.8</v>
      </c>
      <c r="H8">
        <v>0</v>
      </c>
      <c r="I8">
        <v>96.1</v>
      </c>
    </row>
    <row r="9" spans="1:9" x14ac:dyDescent="0.3">
      <c r="A9">
        <v>4</v>
      </c>
      <c r="B9">
        <v>15</v>
      </c>
      <c r="C9">
        <v>0.311</v>
      </c>
      <c r="D9">
        <v>14.5</v>
      </c>
      <c r="E9">
        <v>9.1999999999999993</v>
      </c>
      <c r="F9">
        <v>3.9</v>
      </c>
      <c r="G9">
        <v>4.2</v>
      </c>
      <c r="H9">
        <v>0</v>
      </c>
      <c r="I9">
        <v>92.5</v>
      </c>
    </row>
    <row r="10" spans="1:9" x14ac:dyDescent="0.3">
      <c r="A10">
        <v>5</v>
      </c>
      <c r="B10">
        <v>15.4</v>
      </c>
      <c r="C10">
        <v>0.32800000000000001</v>
      </c>
      <c r="D10">
        <v>36.799999999999997</v>
      </c>
      <c r="E10">
        <v>8</v>
      </c>
      <c r="F10">
        <v>3.5</v>
      </c>
      <c r="G10">
        <v>3.9</v>
      </c>
      <c r="H10">
        <v>9.9</v>
      </c>
      <c r="I10">
        <v>99</v>
      </c>
    </row>
    <row r="11" spans="1:9" x14ac:dyDescent="0.3">
      <c r="A11">
        <v>6</v>
      </c>
      <c r="B11">
        <v>19.399999999999999</v>
      </c>
      <c r="C11">
        <v>0.30099999999999999</v>
      </c>
      <c r="D11">
        <v>26.3</v>
      </c>
      <c r="E11">
        <v>9.5</v>
      </c>
      <c r="F11">
        <v>3.7</v>
      </c>
      <c r="G11">
        <v>4</v>
      </c>
      <c r="H11">
        <v>0</v>
      </c>
      <c r="I11">
        <v>89.1</v>
      </c>
    </row>
    <row r="12" spans="1:9" x14ac:dyDescent="0.3">
      <c r="A12">
        <v>7</v>
      </c>
      <c r="B12">
        <v>32.200000000000003</v>
      </c>
      <c r="C12">
        <v>0.28000000000000003</v>
      </c>
      <c r="D12">
        <v>55.7</v>
      </c>
      <c r="E12">
        <v>7.4</v>
      </c>
      <c r="F12">
        <v>3.4</v>
      </c>
      <c r="G12">
        <v>3.9</v>
      </c>
      <c r="H12">
        <v>24.2</v>
      </c>
      <c r="I12">
        <v>100</v>
      </c>
    </row>
    <row r="13" spans="1:9" x14ac:dyDescent="0.3">
      <c r="A13">
        <v>8</v>
      </c>
      <c r="B13">
        <v>36.6</v>
      </c>
      <c r="C13">
        <v>0.27200000000000002</v>
      </c>
      <c r="D13">
        <v>46.4</v>
      </c>
      <c r="E13">
        <v>4</v>
      </c>
      <c r="F13">
        <v>1.9</v>
      </c>
      <c r="G13">
        <v>1.5</v>
      </c>
      <c r="H13">
        <v>31.2</v>
      </c>
      <c r="I13">
        <v>99.6</v>
      </c>
    </row>
    <row r="14" spans="1:9" x14ac:dyDescent="0.3">
      <c r="A14">
        <v>9</v>
      </c>
      <c r="B14">
        <v>43.4</v>
      </c>
      <c r="C14">
        <v>0.24299999999999999</v>
      </c>
      <c r="D14">
        <v>54</v>
      </c>
      <c r="E14">
        <v>7.8</v>
      </c>
      <c r="F14">
        <v>2.2999999999999998</v>
      </c>
      <c r="G14">
        <v>4.0999999999999996</v>
      </c>
      <c r="H14">
        <v>29.9</v>
      </c>
      <c r="I14">
        <v>97.8</v>
      </c>
    </row>
    <row r="15" spans="1:9" x14ac:dyDescent="0.3">
      <c r="A15">
        <v>10</v>
      </c>
      <c r="B15">
        <v>46.1</v>
      </c>
      <c r="C15">
        <v>0.222</v>
      </c>
      <c r="D15">
        <v>48.7</v>
      </c>
      <c r="E15">
        <v>6.1</v>
      </c>
      <c r="F15">
        <v>2.7</v>
      </c>
      <c r="G15">
        <v>4.5</v>
      </c>
      <c r="H15">
        <v>39.1</v>
      </c>
      <c r="I15">
        <v>100</v>
      </c>
    </row>
    <row r="16" spans="1:9" x14ac:dyDescent="0.3">
      <c r="A16">
        <v>11</v>
      </c>
      <c r="B16">
        <v>50.7</v>
      </c>
      <c r="C16">
        <v>0.20799999999999999</v>
      </c>
      <c r="D16">
        <v>40.6</v>
      </c>
      <c r="E16">
        <v>9.4</v>
      </c>
      <c r="F16">
        <v>2.9</v>
      </c>
      <c r="G16">
        <v>3.5</v>
      </c>
      <c r="H16">
        <v>46</v>
      </c>
      <c r="I16">
        <v>95.6</v>
      </c>
    </row>
    <row r="17" spans="1:13" x14ac:dyDescent="0.3">
      <c r="A17">
        <v>12</v>
      </c>
      <c r="B17">
        <v>53.5</v>
      </c>
      <c r="C17">
        <v>0.184</v>
      </c>
      <c r="D17">
        <v>52.2</v>
      </c>
      <c r="E17">
        <v>6.1</v>
      </c>
      <c r="F17">
        <v>2.1</v>
      </c>
      <c r="G17">
        <v>2.95</v>
      </c>
      <c r="H17">
        <v>38.5</v>
      </c>
      <c r="I17">
        <v>97.5</v>
      </c>
    </row>
    <row r="18" spans="1:13" x14ac:dyDescent="0.3">
      <c r="A18">
        <v>13</v>
      </c>
      <c r="B18">
        <v>54.4</v>
      </c>
      <c r="C18">
        <v>0.18</v>
      </c>
      <c r="D18">
        <v>50.8</v>
      </c>
      <c r="E18">
        <v>5</v>
      </c>
      <c r="F18">
        <v>2.2999999999999998</v>
      </c>
      <c r="G18">
        <v>3.9</v>
      </c>
      <c r="H18">
        <v>47.6</v>
      </c>
      <c r="I18">
        <v>101.1</v>
      </c>
    </row>
    <row r="19" spans="1:13" x14ac:dyDescent="0.3">
      <c r="A19">
        <v>14</v>
      </c>
      <c r="B19">
        <v>56</v>
      </c>
      <c r="C19">
        <v>0.16500000000000001</v>
      </c>
      <c r="D19">
        <v>49.9</v>
      </c>
      <c r="E19">
        <v>5.0999999999999996</v>
      </c>
      <c r="F19">
        <v>2.4</v>
      </c>
      <c r="G19">
        <v>2.9</v>
      </c>
      <c r="H19">
        <v>50</v>
      </c>
      <c r="I19">
        <v>100.2</v>
      </c>
    </row>
    <row r="22" spans="1:13" x14ac:dyDescent="0.3">
      <c r="A22" t="s">
        <v>127</v>
      </c>
      <c r="L22" t="s">
        <v>128</v>
      </c>
    </row>
    <row r="23" spans="1:13" x14ac:dyDescent="0.3">
      <c r="A23" t="s">
        <v>70</v>
      </c>
      <c r="L23" t="s">
        <v>70</v>
      </c>
    </row>
    <row r="24" spans="1:13" ht="15" thickBot="1" x14ac:dyDescent="0.35"/>
    <row r="25" spans="1:13" x14ac:dyDescent="0.3">
      <c r="A25" s="13" t="s">
        <v>71</v>
      </c>
      <c r="B25" s="13"/>
      <c r="L25" s="13" t="s">
        <v>71</v>
      </c>
      <c r="M25" s="13"/>
    </row>
    <row r="26" spans="1:13" x14ac:dyDescent="0.3">
      <c r="A26" s="10" t="s">
        <v>72</v>
      </c>
      <c r="B26" s="10">
        <v>0.66185352870107195</v>
      </c>
      <c r="L26" s="10" t="s">
        <v>72</v>
      </c>
      <c r="M26" s="10">
        <v>0.69980319612750663</v>
      </c>
    </row>
    <row r="27" spans="1:13" x14ac:dyDescent="0.3">
      <c r="A27" s="10" t="s">
        <v>73</v>
      </c>
      <c r="B27" s="10">
        <v>0.43805009345406071</v>
      </c>
      <c r="L27" s="10" t="s">
        <v>73</v>
      </c>
      <c r="M27" s="10">
        <v>0.4897245133102735</v>
      </c>
    </row>
    <row r="28" spans="1:13" x14ac:dyDescent="0.3">
      <c r="A28" s="10" t="s">
        <v>74</v>
      </c>
      <c r="B28" s="10">
        <v>0.39122093457523244</v>
      </c>
      <c r="L28" s="10" t="s">
        <v>74</v>
      </c>
      <c r="M28" s="10">
        <v>0.39694715209395959</v>
      </c>
    </row>
    <row r="29" spans="1:13" x14ac:dyDescent="0.3">
      <c r="A29" s="10" t="s">
        <v>69</v>
      </c>
      <c r="B29" s="10">
        <v>1.5071879771327668</v>
      </c>
      <c r="L29" s="10" t="s">
        <v>69</v>
      </c>
      <c r="M29" s="10">
        <v>1.5000828732966616</v>
      </c>
    </row>
    <row r="30" spans="1:13" ht="15" thickBot="1" x14ac:dyDescent="0.35">
      <c r="A30" s="11" t="s">
        <v>75</v>
      </c>
      <c r="B30" s="11">
        <v>14</v>
      </c>
      <c r="L30" s="11" t="s">
        <v>75</v>
      </c>
      <c r="M30" s="11">
        <v>14</v>
      </c>
    </row>
    <row r="32" spans="1:13" ht="15" thickBot="1" x14ac:dyDescent="0.35">
      <c r="A32" t="s">
        <v>76</v>
      </c>
      <c r="L32" t="s">
        <v>76</v>
      </c>
    </row>
    <row r="33" spans="1:20" x14ac:dyDescent="0.3">
      <c r="A33" s="12"/>
      <c r="B33" s="12" t="s">
        <v>81</v>
      </c>
      <c r="C33" s="12" t="s">
        <v>82</v>
      </c>
      <c r="D33" s="12" t="s">
        <v>83</v>
      </c>
      <c r="E33" s="12" t="s">
        <v>84</v>
      </c>
      <c r="F33" s="12" t="s">
        <v>85</v>
      </c>
      <c r="L33" s="12"/>
      <c r="M33" s="12" t="s">
        <v>81</v>
      </c>
      <c r="N33" s="12" t="s">
        <v>82</v>
      </c>
      <c r="O33" s="12" t="s">
        <v>83</v>
      </c>
      <c r="P33" s="12" t="s">
        <v>84</v>
      </c>
      <c r="Q33" s="12" t="s">
        <v>85</v>
      </c>
    </row>
    <row r="34" spans="1:20" x14ac:dyDescent="0.3">
      <c r="A34" s="10" t="s">
        <v>77</v>
      </c>
      <c r="B34" s="10">
        <v>1</v>
      </c>
      <c r="C34" s="10">
        <v>21.249184247608692</v>
      </c>
      <c r="D34" s="10">
        <v>21.249184247608692</v>
      </c>
      <c r="E34" s="10">
        <v>9.3542165595484477</v>
      </c>
      <c r="F34" s="10">
        <v>9.9272952716006196E-3</v>
      </c>
      <c r="L34" s="10" t="s">
        <v>77</v>
      </c>
      <c r="M34" s="10">
        <v>2</v>
      </c>
      <c r="N34" s="10">
        <v>23.755836534233783</v>
      </c>
      <c r="O34" s="10">
        <v>11.877918267116891</v>
      </c>
      <c r="P34" s="10">
        <v>5.2784915079494708</v>
      </c>
      <c r="Q34" s="10">
        <v>2.4713023423900089E-2</v>
      </c>
    </row>
    <row r="35" spans="1:20" x14ac:dyDescent="0.3">
      <c r="A35" s="10" t="s">
        <v>78</v>
      </c>
      <c r="B35" s="10">
        <v>12</v>
      </c>
      <c r="C35" s="10">
        <v>27.259387180962737</v>
      </c>
      <c r="D35" s="10">
        <v>2.2716155984135615</v>
      </c>
      <c r="E35" s="10"/>
      <c r="F35" s="10"/>
      <c r="L35" s="10" t="s">
        <v>78</v>
      </c>
      <c r="M35" s="10">
        <v>11</v>
      </c>
      <c r="N35" s="10">
        <v>24.752734894337646</v>
      </c>
      <c r="O35" s="10">
        <v>2.2502486267579678</v>
      </c>
      <c r="P35" s="10"/>
      <c r="Q35" s="10"/>
    </row>
    <row r="36" spans="1:20" ht="15" thickBot="1" x14ac:dyDescent="0.35">
      <c r="A36" s="11" t="s">
        <v>79</v>
      </c>
      <c r="B36" s="11">
        <v>13</v>
      </c>
      <c r="C36" s="11">
        <v>48.508571428571429</v>
      </c>
      <c r="D36" s="11"/>
      <c r="E36" s="11"/>
      <c r="F36" s="11"/>
      <c r="L36" s="11" t="s">
        <v>79</v>
      </c>
      <c r="M36" s="11">
        <v>13</v>
      </c>
      <c r="N36" s="11">
        <v>48.508571428571429</v>
      </c>
      <c r="O36" s="11"/>
      <c r="P36" s="11"/>
      <c r="Q36" s="11"/>
    </row>
    <row r="37" spans="1:20" ht="15" thickBot="1" x14ac:dyDescent="0.35"/>
    <row r="38" spans="1:20" x14ac:dyDescent="0.3">
      <c r="A38" s="12"/>
      <c r="B38" s="12" t="s">
        <v>86</v>
      </c>
      <c r="C38" s="12" t="s">
        <v>69</v>
      </c>
      <c r="D38" s="12" t="s">
        <v>87</v>
      </c>
      <c r="E38" s="12" t="s">
        <v>88</v>
      </c>
      <c r="F38" s="12" t="s">
        <v>89</v>
      </c>
      <c r="G38" s="12" t="s">
        <v>90</v>
      </c>
      <c r="H38" s="12" t="s">
        <v>91</v>
      </c>
      <c r="I38" s="12" t="s">
        <v>92</v>
      </c>
      <c r="L38" s="12"/>
      <c r="M38" s="12" t="s">
        <v>86</v>
      </c>
      <c r="N38" s="12" t="s">
        <v>69</v>
      </c>
      <c r="O38" s="12" t="s">
        <v>87</v>
      </c>
      <c r="P38" s="12" t="s">
        <v>88</v>
      </c>
      <c r="Q38" s="12" t="s">
        <v>89</v>
      </c>
      <c r="R38" s="12" t="s">
        <v>90</v>
      </c>
      <c r="S38" s="12" t="s">
        <v>91</v>
      </c>
      <c r="T38" s="12" t="s">
        <v>92</v>
      </c>
    </row>
    <row r="39" spans="1:20" x14ac:dyDescent="0.3">
      <c r="A39" s="10" t="s">
        <v>80</v>
      </c>
      <c r="B39" s="10">
        <v>2.9529019570538768</v>
      </c>
      <c r="C39" s="10">
        <v>1.5493461877053374</v>
      </c>
      <c r="D39" s="10">
        <v>1.9059019736752822</v>
      </c>
      <c r="E39" s="10">
        <v>8.0893606285548758E-2</v>
      </c>
      <c r="F39" s="10">
        <v>-0.42283339431452216</v>
      </c>
      <c r="G39" s="10">
        <v>6.3286373084222758</v>
      </c>
      <c r="H39" s="10">
        <v>-0.42283339431452216</v>
      </c>
      <c r="I39" s="10">
        <v>6.3286373084222758</v>
      </c>
      <c r="L39" s="10" t="s">
        <v>80</v>
      </c>
      <c r="M39" s="10">
        <v>14.917732926600236</v>
      </c>
      <c r="N39" s="10">
        <v>11.440787984618684</v>
      </c>
      <c r="O39" s="10">
        <v>1.3039078205676089</v>
      </c>
      <c r="P39" s="10">
        <v>0.21889134893020543</v>
      </c>
      <c r="Q39" s="10">
        <v>-10.263271647300209</v>
      </c>
      <c r="R39" s="10">
        <v>40.098737500500683</v>
      </c>
      <c r="S39" s="10">
        <v>-10.263271647300209</v>
      </c>
      <c r="T39" s="10">
        <v>40.098737500500683</v>
      </c>
    </row>
    <row r="40" spans="1:20" ht="15" thickBot="1" x14ac:dyDescent="0.35">
      <c r="A40" s="11" t="s">
        <v>6</v>
      </c>
      <c r="B40" s="11">
        <v>16.738796080806296</v>
      </c>
      <c r="C40" s="11">
        <v>5.4729377521694618</v>
      </c>
      <c r="D40" s="11">
        <v>3.0584663737808948</v>
      </c>
      <c r="E40" s="11">
        <v>9.9272952716006092E-3</v>
      </c>
      <c r="F40" s="11">
        <v>4.8142890904093498</v>
      </c>
      <c r="G40" s="11">
        <v>28.663303071203242</v>
      </c>
      <c r="H40" s="11">
        <v>4.8142890904093498</v>
      </c>
      <c r="I40" s="11">
        <v>28.663303071203242</v>
      </c>
      <c r="L40" s="10" t="s">
        <v>6</v>
      </c>
      <c r="M40" s="10">
        <v>-13.465249984859506</v>
      </c>
      <c r="N40" s="10">
        <v>29.131405576076716</v>
      </c>
      <c r="O40" s="10">
        <v>-0.46222452087644661</v>
      </c>
      <c r="P40" s="10">
        <v>0.65292843040025716</v>
      </c>
      <c r="Q40" s="10">
        <v>-77.583041350415172</v>
      </c>
      <c r="R40" s="10">
        <v>50.652541380696157</v>
      </c>
      <c r="S40" s="10">
        <v>-77.583041350415172</v>
      </c>
      <c r="T40" s="10">
        <v>50.652541380696157</v>
      </c>
    </row>
    <row r="41" spans="1:20" ht="15" thickBot="1" x14ac:dyDescent="0.35">
      <c r="L41" s="11" t="s">
        <v>1</v>
      </c>
      <c r="M41" s="11">
        <v>-0.11836924140525763</v>
      </c>
      <c r="N41" s="11">
        <v>0.11215201215416311</v>
      </c>
      <c r="O41" s="11">
        <v>-1.0554357352282577</v>
      </c>
      <c r="P41" s="11">
        <v>0.31385600588954687</v>
      </c>
      <c r="Q41" s="11">
        <v>-0.36521415583098771</v>
      </c>
      <c r="R41" s="11">
        <v>0.12847567302047241</v>
      </c>
      <c r="S41" s="11">
        <v>-0.36521415583098771</v>
      </c>
      <c r="T41" s="11">
        <v>0.12847567302047241</v>
      </c>
    </row>
    <row r="44" spans="1:20" x14ac:dyDescent="0.3">
      <c r="A44" t="s">
        <v>123</v>
      </c>
      <c r="I44">
        <f>((C35-N35)/(M34-B34))/(N35/(B36+1-(M34+1)))</f>
        <v>1.1139445911968113</v>
      </c>
      <c r="K44" t="s">
        <v>292</v>
      </c>
    </row>
    <row r="45" spans="1:20" x14ac:dyDescent="0.3">
      <c r="A45" t="s">
        <v>124</v>
      </c>
      <c r="I45">
        <f>_xlfn.F.DIST.RT(I44,B35-M35,M35)</f>
        <v>0.31385600588954721</v>
      </c>
    </row>
    <row r="46" spans="1:20" x14ac:dyDescent="0.3">
      <c r="A46" t="s">
        <v>125</v>
      </c>
    </row>
    <row r="47" spans="1:20" x14ac:dyDescent="0.3">
      <c r="A47" t="s">
        <v>126</v>
      </c>
    </row>
    <row r="50" spans="1:17" x14ac:dyDescent="0.3">
      <c r="A50" t="s">
        <v>127</v>
      </c>
      <c r="L50" t="s">
        <v>146</v>
      </c>
    </row>
    <row r="51" spans="1:17" x14ac:dyDescent="0.3">
      <c r="A51" t="s">
        <v>70</v>
      </c>
      <c r="L51" t="s">
        <v>70</v>
      </c>
    </row>
    <row r="52" spans="1:17" ht="15" thickBot="1" x14ac:dyDescent="0.35"/>
    <row r="53" spans="1:17" x14ac:dyDescent="0.3">
      <c r="A53" s="13" t="s">
        <v>71</v>
      </c>
      <c r="B53" s="13"/>
      <c r="L53" s="13" t="s">
        <v>71</v>
      </c>
      <c r="M53" s="13"/>
    </row>
    <row r="54" spans="1:17" x14ac:dyDescent="0.3">
      <c r="A54" s="10" t="s">
        <v>72</v>
      </c>
      <c r="B54" s="10">
        <v>0.66185352870107195</v>
      </c>
      <c r="L54" s="10" t="s">
        <v>72</v>
      </c>
      <c r="M54" s="10">
        <v>0.69983704197997465</v>
      </c>
    </row>
    <row r="55" spans="1:17" x14ac:dyDescent="0.3">
      <c r="A55" s="10" t="s">
        <v>73</v>
      </c>
      <c r="B55" s="10">
        <v>0.43805009345406071</v>
      </c>
      <c r="L55" s="10" t="s">
        <v>73</v>
      </c>
      <c r="M55" s="10">
        <v>0.48977188532728078</v>
      </c>
    </row>
    <row r="56" spans="1:17" x14ac:dyDescent="0.3">
      <c r="A56" s="10" t="s">
        <v>74</v>
      </c>
      <c r="B56" s="10">
        <v>0.39122093457523244</v>
      </c>
      <c r="L56" s="10" t="s">
        <v>74</v>
      </c>
      <c r="M56" s="10">
        <v>0.33670345092546505</v>
      </c>
    </row>
    <row r="57" spans="1:17" x14ac:dyDescent="0.3">
      <c r="A57" s="10" t="s">
        <v>69</v>
      </c>
      <c r="B57" s="10">
        <v>1.5071879771327668</v>
      </c>
      <c r="L57" s="10" t="s">
        <v>69</v>
      </c>
      <c r="M57" s="10">
        <v>1.5732271592324782</v>
      </c>
    </row>
    <row r="58" spans="1:17" ht="15" thickBot="1" x14ac:dyDescent="0.35">
      <c r="A58" s="11" t="s">
        <v>75</v>
      </c>
      <c r="B58" s="11">
        <v>14</v>
      </c>
      <c r="L58" s="11" t="s">
        <v>75</v>
      </c>
      <c r="M58" s="11">
        <v>14</v>
      </c>
    </row>
    <row r="60" spans="1:17" ht="15" thickBot="1" x14ac:dyDescent="0.35">
      <c r="A60" t="s">
        <v>76</v>
      </c>
      <c r="L60" t="s">
        <v>76</v>
      </c>
    </row>
    <row r="61" spans="1:17" x14ac:dyDescent="0.3">
      <c r="A61" s="12"/>
      <c r="B61" s="12" t="s">
        <v>81</v>
      </c>
      <c r="C61" s="12" t="s">
        <v>82</v>
      </c>
      <c r="D61" s="12" t="s">
        <v>83</v>
      </c>
      <c r="E61" s="12" t="s">
        <v>84</v>
      </c>
      <c r="F61" s="12" t="s">
        <v>85</v>
      </c>
      <c r="L61" s="12"/>
      <c r="M61" s="12" t="s">
        <v>81</v>
      </c>
      <c r="N61" s="12" t="s">
        <v>82</v>
      </c>
      <c r="O61" s="12" t="s">
        <v>83</v>
      </c>
      <c r="P61" s="12" t="s">
        <v>84</v>
      </c>
      <c r="Q61" s="12" t="s">
        <v>85</v>
      </c>
    </row>
    <row r="62" spans="1:17" x14ac:dyDescent="0.3">
      <c r="A62" s="10" t="s">
        <v>77</v>
      </c>
      <c r="B62" s="10">
        <v>1</v>
      </c>
      <c r="C62" s="10">
        <v>21.249184247608692</v>
      </c>
      <c r="D62" s="10">
        <v>21.249184247608692</v>
      </c>
      <c r="E62" s="10">
        <v>9.3542165595484477</v>
      </c>
      <c r="F62" s="10">
        <v>9.9272952716006196E-3</v>
      </c>
      <c r="L62" s="10" t="s">
        <v>77</v>
      </c>
      <c r="M62" s="10">
        <v>3</v>
      </c>
      <c r="N62" s="10">
        <v>23.758134483104495</v>
      </c>
      <c r="O62" s="10">
        <v>7.9193781610348317</v>
      </c>
      <c r="P62" s="10">
        <v>3.1996922634067975</v>
      </c>
      <c r="Q62" s="10">
        <v>7.0839646649364263E-2</v>
      </c>
    </row>
    <row r="63" spans="1:17" x14ac:dyDescent="0.3">
      <c r="A63" s="10" t="s">
        <v>78</v>
      </c>
      <c r="B63" s="10">
        <v>12</v>
      </c>
      <c r="C63" s="10">
        <v>27.259387180962737</v>
      </c>
      <c r="D63" s="10">
        <v>2.2716155984135615</v>
      </c>
      <c r="E63" s="10"/>
      <c r="F63" s="10"/>
      <c r="L63" s="10" t="s">
        <v>78</v>
      </c>
      <c r="M63" s="10">
        <v>10</v>
      </c>
      <c r="N63" s="10">
        <v>24.750436945466934</v>
      </c>
      <c r="O63" s="10">
        <v>2.4750436945466934</v>
      </c>
      <c r="P63" s="10"/>
      <c r="Q63" s="10"/>
    </row>
    <row r="64" spans="1:17" ht="15" thickBot="1" x14ac:dyDescent="0.35">
      <c r="A64" s="11" t="s">
        <v>79</v>
      </c>
      <c r="B64" s="11">
        <v>13</v>
      </c>
      <c r="C64" s="11">
        <v>48.508571428571429</v>
      </c>
      <c r="D64" s="11"/>
      <c r="E64" s="11"/>
      <c r="F64" s="11"/>
      <c r="L64" s="11" t="s">
        <v>79</v>
      </c>
      <c r="M64" s="11">
        <v>13</v>
      </c>
      <c r="N64" s="11">
        <v>48.508571428571429</v>
      </c>
      <c r="O64" s="11"/>
      <c r="P64" s="11"/>
      <c r="Q64" s="11"/>
    </row>
    <row r="65" spans="1:20" ht="15" thickBot="1" x14ac:dyDescent="0.35"/>
    <row r="66" spans="1:20" x14ac:dyDescent="0.3">
      <c r="A66" s="12"/>
      <c r="B66" s="12" t="s">
        <v>86</v>
      </c>
      <c r="C66" s="12" t="s">
        <v>69</v>
      </c>
      <c r="D66" s="12" t="s">
        <v>87</v>
      </c>
      <c r="E66" s="12" t="s">
        <v>88</v>
      </c>
      <c r="F66" s="12" t="s">
        <v>89</v>
      </c>
      <c r="G66" s="12" t="s">
        <v>90</v>
      </c>
      <c r="H66" s="12" t="s">
        <v>91</v>
      </c>
      <c r="I66" s="12" t="s">
        <v>92</v>
      </c>
      <c r="L66" s="12"/>
      <c r="M66" s="12" t="s">
        <v>86</v>
      </c>
      <c r="N66" s="12" t="s">
        <v>69</v>
      </c>
      <c r="O66" s="12" t="s">
        <v>87</v>
      </c>
      <c r="P66" s="12" t="s">
        <v>88</v>
      </c>
      <c r="Q66" s="12" t="s">
        <v>89</v>
      </c>
      <c r="R66" s="12" t="s">
        <v>90</v>
      </c>
      <c r="S66" s="12" t="s">
        <v>91</v>
      </c>
      <c r="T66" s="12" t="s">
        <v>92</v>
      </c>
    </row>
    <row r="67" spans="1:20" x14ac:dyDescent="0.3">
      <c r="A67" s="10" t="s">
        <v>80</v>
      </c>
      <c r="B67" s="10">
        <v>2.9529019570538768</v>
      </c>
      <c r="C67" s="10">
        <v>1.5493461877053374</v>
      </c>
      <c r="D67" s="10">
        <v>1.9059019736752822</v>
      </c>
      <c r="E67" s="10">
        <v>8.0893606285548758E-2</v>
      </c>
      <c r="F67" s="10">
        <v>-0.42283339431452216</v>
      </c>
      <c r="G67" s="10">
        <v>6.3286373084222758</v>
      </c>
      <c r="H67" s="10">
        <v>-0.42283339431452216</v>
      </c>
      <c r="I67" s="10">
        <v>6.3286373084222758</v>
      </c>
      <c r="L67" s="10" t="s">
        <v>80</v>
      </c>
      <c r="M67" s="10">
        <v>14.828592288154953</v>
      </c>
      <c r="N67" s="10">
        <v>12.350135781513391</v>
      </c>
      <c r="O67" s="10">
        <v>1.2006825309849225</v>
      </c>
      <c r="P67" s="10">
        <v>0.25754295778949865</v>
      </c>
      <c r="Q67" s="10">
        <v>-12.689225073940902</v>
      </c>
      <c r="R67" s="10">
        <v>42.346409650250806</v>
      </c>
      <c r="S67" s="10">
        <v>-12.689225073940902</v>
      </c>
      <c r="T67" s="10">
        <v>42.346409650250806</v>
      </c>
    </row>
    <row r="68" spans="1:20" ht="15" thickBot="1" x14ac:dyDescent="0.35">
      <c r="A68" s="11" t="s">
        <v>6</v>
      </c>
      <c r="B68" s="11">
        <v>16.738796080806296</v>
      </c>
      <c r="C68" s="11">
        <v>5.4729377521694618</v>
      </c>
      <c r="D68" s="11">
        <v>3.0584663737808948</v>
      </c>
      <c r="E68" s="11">
        <v>9.9272952716006092E-3</v>
      </c>
      <c r="F68" s="11">
        <v>4.8142890904093498</v>
      </c>
      <c r="G68" s="11">
        <v>28.663303071203242</v>
      </c>
      <c r="H68" s="11">
        <v>4.8142890904093498</v>
      </c>
      <c r="I68" s="11">
        <v>28.663303071203242</v>
      </c>
      <c r="L68" s="10" t="s">
        <v>6</v>
      </c>
      <c r="M68" s="10">
        <v>-13.179196406697859</v>
      </c>
      <c r="N68" s="10">
        <v>31.96167624368854</v>
      </c>
      <c r="O68" s="10">
        <v>-0.41234371771412803</v>
      </c>
      <c r="P68" s="10">
        <v>0.68878812069820627</v>
      </c>
      <c r="Q68" s="10">
        <v>-84.394249019867019</v>
      </c>
      <c r="R68" s="10">
        <v>58.035856206471308</v>
      </c>
      <c r="S68" s="10">
        <v>-84.394249019867019</v>
      </c>
      <c r="T68" s="10">
        <v>58.035856206471308</v>
      </c>
    </row>
    <row r="69" spans="1:20" x14ac:dyDescent="0.3">
      <c r="L69" s="10" t="s">
        <v>1</v>
      </c>
      <c r="M69" s="10">
        <v>-0.11540101779436733</v>
      </c>
      <c r="N69" s="10">
        <v>0.15272174334859989</v>
      </c>
      <c r="O69" s="10">
        <v>-0.75562925922705748</v>
      </c>
      <c r="P69" s="10">
        <v>0.46729696529484144</v>
      </c>
      <c r="Q69" s="10">
        <v>-0.45568626769245912</v>
      </c>
      <c r="R69" s="10">
        <v>0.22488423210372444</v>
      </c>
      <c r="S69" s="10">
        <v>-0.45568626769245912</v>
      </c>
      <c r="T69" s="10">
        <v>0.22488423210372444</v>
      </c>
    </row>
    <row r="70" spans="1:20" ht="15" thickBot="1" x14ac:dyDescent="0.35">
      <c r="L70" s="11" t="s">
        <v>161</v>
      </c>
      <c r="M70" s="11">
        <v>-1.1424210620235246E-2</v>
      </c>
      <c r="N70" s="11">
        <v>0.37492763792778833</v>
      </c>
      <c r="O70" s="11">
        <v>-3.0470441398709497E-2</v>
      </c>
      <c r="P70" s="11">
        <v>0.97629142709843642</v>
      </c>
      <c r="Q70" s="11">
        <v>-0.84681504737058311</v>
      </c>
      <c r="R70" s="11">
        <v>0.82396662613011262</v>
      </c>
      <c r="S70" s="11">
        <v>-0.84681504737058311</v>
      </c>
      <c r="T70" s="11">
        <v>0.82396662613011262</v>
      </c>
    </row>
    <row r="73" spans="1:20" x14ac:dyDescent="0.3">
      <c r="A73" t="s">
        <v>123</v>
      </c>
      <c r="I73">
        <f>((C63-N63)/(M62-B62))/(N63/(B64+1-(M62+1)))</f>
        <v>0.50684968532551899</v>
      </c>
      <c r="K73" t="s">
        <v>292</v>
      </c>
    </row>
    <row r="74" spans="1:20" x14ac:dyDescent="0.3">
      <c r="A74" t="s">
        <v>124</v>
      </c>
      <c r="I74">
        <f>_xlfn.F.DIST.RT(I73,B63-M63,M63)</f>
        <v>0.61706925825927439</v>
      </c>
    </row>
    <row r="75" spans="1:20" x14ac:dyDescent="0.3">
      <c r="A75" t="s">
        <v>125</v>
      </c>
    </row>
    <row r="76" spans="1:20" x14ac:dyDescent="0.3">
      <c r="A76" t="s">
        <v>312</v>
      </c>
    </row>
    <row r="82" spans="1:17" x14ac:dyDescent="0.3">
      <c r="A82" t="s">
        <v>148</v>
      </c>
      <c r="L82" t="s">
        <v>146</v>
      </c>
    </row>
    <row r="83" spans="1:17" x14ac:dyDescent="0.3">
      <c r="A83" t="s">
        <v>70</v>
      </c>
      <c r="L83" t="s">
        <v>70</v>
      </c>
    </row>
    <row r="84" spans="1:17" ht="15" thickBot="1" x14ac:dyDescent="0.35"/>
    <row r="85" spans="1:17" x14ac:dyDescent="0.3">
      <c r="A85" s="13" t="s">
        <v>71</v>
      </c>
      <c r="B85" s="13"/>
      <c r="L85" s="13" t="s">
        <v>71</v>
      </c>
      <c r="M85" s="13"/>
    </row>
    <row r="86" spans="1:17" x14ac:dyDescent="0.3">
      <c r="A86" s="10" t="s">
        <v>72</v>
      </c>
      <c r="B86" s="10">
        <v>0.69980319612750663</v>
      </c>
      <c r="L86" s="10" t="s">
        <v>72</v>
      </c>
      <c r="M86" s="10">
        <v>0.69983704197997465</v>
      </c>
    </row>
    <row r="87" spans="1:17" x14ac:dyDescent="0.3">
      <c r="A87" s="10" t="s">
        <v>73</v>
      </c>
      <c r="B87" s="10">
        <v>0.4897245133102735</v>
      </c>
      <c r="L87" s="10" t="s">
        <v>73</v>
      </c>
      <c r="M87" s="10">
        <v>0.48977188532728078</v>
      </c>
    </row>
    <row r="88" spans="1:17" x14ac:dyDescent="0.3">
      <c r="A88" s="10" t="s">
        <v>74</v>
      </c>
      <c r="B88" s="10">
        <v>0.39694715209395959</v>
      </c>
      <c r="L88" s="10" t="s">
        <v>74</v>
      </c>
      <c r="M88" s="10">
        <v>0.33670345092546505</v>
      </c>
    </row>
    <row r="89" spans="1:17" x14ac:dyDescent="0.3">
      <c r="A89" s="10" t="s">
        <v>69</v>
      </c>
      <c r="B89" s="10">
        <v>1.5000828732966616</v>
      </c>
      <c r="L89" s="10" t="s">
        <v>69</v>
      </c>
      <c r="M89" s="10">
        <v>1.5732271592324782</v>
      </c>
    </row>
    <row r="90" spans="1:17" ht="15" thickBot="1" x14ac:dyDescent="0.35">
      <c r="A90" s="11" t="s">
        <v>75</v>
      </c>
      <c r="B90" s="11">
        <v>14</v>
      </c>
      <c r="L90" s="11" t="s">
        <v>75</v>
      </c>
      <c r="M90" s="11">
        <v>14</v>
      </c>
    </row>
    <row r="92" spans="1:17" ht="15" thickBot="1" x14ac:dyDescent="0.35">
      <c r="A92" t="s">
        <v>76</v>
      </c>
      <c r="L92" t="s">
        <v>76</v>
      </c>
    </row>
    <row r="93" spans="1:17" x14ac:dyDescent="0.3">
      <c r="A93" s="12"/>
      <c r="B93" s="12" t="s">
        <v>81</v>
      </c>
      <c r="C93" s="12" t="s">
        <v>82</v>
      </c>
      <c r="D93" s="12" t="s">
        <v>83</v>
      </c>
      <c r="E93" s="12" t="s">
        <v>84</v>
      </c>
      <c r="F93" s="12" t="s">
        <v>85</v>
      </c>
      <c r="L93" s="12"/>
      <c r="M93" s="12" t="s">
        <v>81</v>
      </c>
      <c r="N93" s="12" t="s">
        <v>82</v>
      </c>
      <c r="O93" s="12" t="s">
        <v>83</v>
      </c>
      <c r="P93" s="12" t="s">
        <v>84</v>
      </c>
      <c r="Q93" s="12" t="s">
        <v>85</v>
      </c>
    </row>
    <row r="94" spans="1:17" x14ac:dyDescent="0.3">
      <c r="A94" s="10" t="s">
        <v>77</v>
      </c>
      <c r="B94" s="10">
        <v>2</v>
      </c>
      <c r="C94" s="10">
        <v>23.755836534233783</v>
      </c>
      <c r="D94" s="10">
        <v>11.877918267116891</v>
      </c>
      <c r="E94" s="10">
        <v>5.2784915079494708</v>
      </c>
      <c r="F94" s="10">
        <v>2.4713023423900089E-2</v>
      </c>
      <c r="L94" s="10" t="s">
        <v>77</v>
      </c>
      <c r="M94" s="10">
        <v>3</v>
      </c>
      <c r="N94" s="10">
        <v>23.758134483104495</v>
      </c>
      <c r="O94" s="10">
        <v>7.9193781610348317</v>
      </c>
      <c r="P94" s="10">
        <v>3.1996922634067975</v>
      </c>
      <c r="Q94" s="10">
        <v>7.0839646649364263E-2</v>
      </c>
    </row>
    <row r="95" spans="1:17" x14ac:dyDescent="0.3">
      <c r="A95" s="10" t="s">
        <v>78</v>
      </c>
      <c r="B95" s="10">
        <v>11</v>
      </c>
      <c r="C95" s="10">
        <v>24.752734894337646</v>
      </c>
      <c r="D95" s="10">
        <v>2.2502486267579678</v>
      </c>
      <c r="E95" s="10"/>
      <c r="F95" s="10"/>
      <c r="L95" s="10" t="s">
        <v>78</v>
      </c>
      <c r="M95" s="10">
        <v>10</v>
      </c>
      <c r="N95" s="10">
        <v>24.750436945466934</v>
      </c>
      <c r="O95" s="10">
        <v>2.4750436945466934</v>
      </c>
      <c r="P95" s="10"/>
      <c r="Q95" s="10"/>
    </row>
    <row r="96" spans="1:17" ht="15" thickBot="1" x14ac:dyDescent="0.35">
      <c r="A96" s="11" t="s">
        <v>79</v>
      </c>
      <c r="B96" s="11">
        <v>13</v>
      </c>
      <c r="C96" s="11">
        <v>48.508571428571429</v>
      </c>
      <c r="D96" s="11"/>
      <c r="E96" s="11"/>
      <c r="F96" s="11"/>
      <c r="L96" s="11" t="s">
        <v>79</v>
      </c>
      <c r="M96" s="11">
        <v>13</v>
      </c>
      <c r="N96" s="11">
        <v>48.508571428571429</v>
      </c>
      <c r="O96" s="11"/>
      <c r="P96" s="11"/>
      <c r="Q96" s="11"/>
    </row>
    <row r="97" spans="1:20" ht="15" thickBot="1" x14ac:dyDescent="0.35"/>
    <row r="98" spans="1:20" x14ac:dyDescent="0.3">
      <c r="A98" s="12"/>
      <c r="B98" s="12" t="s">
        <v>86</v>
      </c>
      <c r="C98" s="12" t="s">
        <v>69</v>
      </c>
      <c r="D98" s="12" t="s">
        <v>87</v>
      </c>
      <c r="E98" s="12" t="s">
        <v>88</v>
      </c>
      <c r="F98" s="12" t="s">
        <v>89</v>
      </c>
      <c r="G98" s="12" t="s">
        <v>90</v>
      </c>
      <c r="H98" s="12" t="s">
        <v>91</v>
      </c>
      <c r="I98" s="12" t="s">
        <v>92</v>
      </c>
      <c r="L98" s="12"/>
      <c r="M98" s="12" t="s">
        <v>86</v>
      </c>
      <c r="N98" s="12" t="s">
        <v>69</v>
      </c>
      <c r="O98" s="12" t="s">
        <v>87</v>
      </c>
      <c r="P98" s="12" t="s">
        <v>88</v>
      </c>
      <c r="Q98" s="12" t="s">
        <v>89</v>
      </c>
      <c r="R98" s="12" t="s">
        <v>90</v>
      </c>
      <c r="S98" s="12" t="s">
        <v>91</v>
      </c>
      <c r="T98" s="12" t="s">
        <v>92</v>
      </c>
    </row>
    <row r="99" spans="1:20" x14ac:dyDescent="0.3">
      <c r="A99" s="10" t="s">
        <v>80</v>
      </c>
      <c r="B99" s="10">
        <v>14.917732926600236</v>
      </c>
      <c r="C99" s="10">
        <v>11.440787984618684</v>
      </c>
      <c r="D99" s="10">
        <v>1.3039078205676089</v>
      </c>
      <c r="E99" s="10">
        <v>0.21889134893020543</v>
      </c>
      <c r="F99" s="10">
        <v>-10.263271647300209</v>
      </c>
      <c r="G99" s="10">
        <v>40.098737500500683</v>
      </c>
      <c r="H99" s="10">
        <v>-10.263271647300209</v>
      </c>
      <c r="I99" s="10">
        <v>40.098737500500683</v>
      </c>
      <c r="L99" s="10" t="s">
        <v>80</v>
      </c>
      <c r="M99" s="10">
        <v>14.828592288154953</v>
      </c>
      <c r="N99" s="10">
        <v>12.350135781513391</v>
      </c>
      <c r="O99" s="10">
        <v>1.2006825309849225</v>
      </c>
      <c r="P99" s="10">
        <v>0.25754295778949865</v>
      </c>
      <c r="Q99" s="10">
        <v>-12.689225073940902</v>
      </c>
      <c r="R99" s="10">
        <v>42.346409650250806</v>
      </c>
      <c r="S99" s="10">
        <v>-12.689225073940902</v>
      </c>
      <c r="T99" s="10">
        <v>42.346409650250806</v>
      </c>
    </row>
    <row r="100" spans="1:20" x14ac:dyDescent="0.3">
      <c r="A100" s="10" t="s">
        <v>6</v>
      </c>
      <c r="B100" s="10">
        <v>-13.465249984859506</v>
      </c>
      <c r="C100" s="10">
        <v>29.131405576076716</v>
      </c>
      <c r="D100" s="10">
        <v>-0.46222452087644661</v>
      </c>
      <c r="E100" s="10">
        <v>0.65292843040025716</v>
      </c>
      <c r="F100" s="10">
        <v>-77.583041350415172</v>
      </c>
      <c r="G100" s="10">
        <v>50.652541380696157</v>
      </c>
      <c r="H100" s="10">
        <v>-77.583041350415172</v>
      </c>
      <c r="I100" s="10">
        <v>50.652541380696157</v>
      </c>
      <c r="L100" s="10" t="s">
        <v>6</v>
      </c>
      <c r="M100" s="10">
        <v>-13.179196406697859</v>
      </c>
      <c r="N100" s="10">
        <v>31.96167624368854</v>
      </c>
      <c r="O100" s="10">
        <v>-0.41234371771412803</v>
      </c>
      <c r="P100" s="10">
        <v>0.68878812069820627</v>
      </c>
      <c r="Q100" s="10">
        <v>-84.394249019867019</v>
      </c>
      <c r="R100" s="10">
        <v>58.035856206471308</v>
      </c>
      <c r="S100" s="10">
        <v>-84.394249019867019</v>
      </c>
      <c r="T100" s="10">
        <v>58.035856206471308</v>
      </c>
    </row>
    <row r="101" spans="1:20" ht="15" thickBot="1" x14ac:dyDescent="0.35">
      <c r="A101" s="11" t="s">
        <v>1</v>
      </c>
      <c r="B101" s="11">
        <v>-0.11836924140525763</v>
      </c>
      <c r="C101" s="11">
        <v>0.11215201215416311</v>
      </c>
      <c r="D101" s="11">
        <v>-1.0554357352282577</v>
      </c>
      <c r="E101" s="11">
        <v>0.31385600588954687</v>
      </c>
      <c r="F101" s="11">
        <v>-0.36521415583098771</v>
      </c>
      <c r="G101" s="11">
        <v>0.12847567302047241</v>
      </c>
      <c r="H101" s="11">
        <v>-0.36521415583098771</v>
      </c>
      <c r="I101" s="11">
        <v>0.12847567302047241</v>
      </c>
      <c r="L101" s="10" t="s">
        <v>1</v>
      </c>
      <c r="M101" s="10">
        <v>-0.11540101779436733</v>
      </c>
      <c r="N101" s="10">
        <v>0.15272174334859989</v>
      </c>
      <c r="O101" s="10">
        <v>-0.75562925922705748</v>
      </c>
      <c r="P101" s="10">
        <v>0.46729696529484144</v>
      </c>
      <c r="Q101" s="10">
        <v>-0.45568626769245912</v>
      </c>
      <c r="R101" s="10">
        <v>0.22488423210372444</v>
      </c>
      <c r="S101" s="10">
        <v>-0.45568626769245912</v>
      </c>
      <c r="T101" s="10">
        <v>0.22488423210372444</v>
      </c>
    </row>
    <row r="102" spans="1:20" ht="15" thickBot="1" x14ac:dyDescent="0.35">
      <c r="L102" s="11" t="s">
        <v>161</v>
      </c>
      <c r="M102" s="11">
        <v>-1.1424210620235246E-2</v>
      </c>
      <c r="N102" s="11">
        <v>0.37492763792778833</v>
      </c>
      <c r="O102" s="11">
        <v>-3.0470441398709497E-2</v>
      </c>
      <c r="P102" s="11">
        <v>0.97629142709843642</v>
      </c>
      <c r="Q102" s="11">
        <v>-0.84681504737058311</v>
      </c>
      <c r="R102" s="11">
        <v>0.82396662613011262</v>
      </c>
      <c r="S102" s="11">
        <v>-0.84681504737058311</v>
      </c>
      <c r="T102" s="11">
        <v>0.82396662613011262</v>
      </c>
    </row>
    <row r="105" spans="1:20" x14ac:dyDescent="0.3">
      <c r="A105" t="s">
        <v>123</v>
      </c>
      <c r="I105">
        <f>((C95-N95)/(M94-B94))/(N95/(B96+1-(M94+1)))</f>
        <v>9.2844779903293389E-4</v>
      </c>
      <c r="K105" t="s">
        <v>292</v>
      </c>
    </row>
    <row r="106" spans="1:20" x14ac:dyDescent="0.3">
      <c r="A106" t="s">
        <v>124</v>
      </c>
      <c r="I106">
        <f>_xlfn.F.DIST.RT(I105,B95-M95,M95)</f>
        <v>0.97629142709842687</v>
      </c>
    </row>
    <row r="107" spans="1:20" x14ac:dyDescent="0.3">
      <c r="A107" t="s">
        <v>125</v>
      </c>
    </row>
    <row r="108" spans="1:20" x14ac:dyDescent="0.3">
      <c r="A108" t="s">
        <v>307</v>
      </c>
    </row>
    <row r="111" spans="1:20" x14ac:dyDescent="0.3">
      <c r="A111" t="s">
        <v>127</v>
      </c>
      <c r="L111" t="s">
        <v>149</v>
      </c>
    </row>
    <row r="112" spans="1:20" x14ac:dyDescent="0.3">
      <c r="A112" t="s">
        <v>70</v>
      </c>
      <c r="L112" t="s">
        <v>70</v>
      </c>
    </row>
    <row r="113" spans="1:20" ht="15" thickBot="1" x14ac:dyDescent="0.35"/>
    <row r="114" spans="1:20" x14ac:dyDescent="0.3">
      <c r="A114" s="13" t="s">
        <v>71</v>
      </c>
      <c r="B114" s="13"/>
      <c r="L114" s="13" t="s">
        <v>71</v>
      </c>
      <c r="M114" s="13"/>
    </row>
    <row r="115" spans="1:20" x14ac:dyDescent="0.3">
      <c r="A115" s="10" t="s">
        <v>72</v>
      </c>
      <c r="B115" s="10">
        <v>0.66185352870107195</v>
      </c>
      <c r="L115" s="10" t="s">
        <v>72</v>
      </c>
      <c r="M115" s="10">
        <v>0.67870399003481796</v>
      </c>
    </row>
    <row r="116" spans="1:20" x14ac:dyDescent="0.3">
      <c r="A116" s="10" t="s">
        <v>73</v>
      </c>
      <c r="B116" s="10">
        <v>0.43805009345406071</v>
      </c>
      <c r="L116" s="10" t="s">
        <v>73</v>
      </c>
      <c r="M116" s="10">
        <v>0.46063910608918229</v>
      </c>
    </row>
    <row r="117" spans="1:20" x14ac:dyDescent="0.3">
      <c r="A117" s="10" t="s">
        <v>74</v>
      </c>
      <c r="B117" s="10">
        <v>0.39122093457523244</v>
      </c>
      <c r="L117" s="10" t="s">
        <v>74</v>
      </c>
      <c r="M117" s="10">
        <v>0.36257348901448816</v>
      </c>
    </row>
    <row r="118" spans="1:20" x14ac:dyDescent="0.3">
      <c r="A118" s="10" t="s">
        <v>69</v>
      </c>
      <c r="B118" s="10">
        <v>1.5071879771327668</v>
      </c>
      <c r="L118" s="10" t="s">
        <v>69</v>
      </c>
      <c r="M118" s="10">
        <v>1.5422423594485295</v>
      </c>
    </row>
    <row r="119" spans="1:20" ht="15" thickBot="1" x14ac:dyDescent="0.35">
      <c r="A119" s="11" t="s">
        <v>75</v>
      </c>
      <c r="B119" s="11">
        <v>14</v>
      </c>
      <c r="L119" s="11" t="s">
        <v>75</v>
      </c>
      <c r="M119" s="11">
        <v>14</v>
      </c>
    </row>
    <row r="121" spans="1:20" ht="15" thickBot="1" x14ac:dyDescent="0.35">
      <c r="A121" t="s">
        <v>76</v>
      </c>
      <c r="L121" t="s">
        <v>76</v>
      </c>
    </row>
    <row r="122" spans="1:20" x14ac:dyDescent="0.3">
      <c r="A122" s="12"/>
      <c r="B122" s="12" t="s">
        <v>81</v>
      </c>
      <c r="C122" s="12" t="s">
        <v>82</v>
      </c>
      <c r="D122" s="12" t="s">
        <v>83</v>
      </c>
      <c r="E122" s="12" t="s">
        <v>84</v>
      </c>
      <c r="F122" s="12" t="s">
        <v>85</v>
      </c>
      <c r="L122" s="12"/>
      <c r="M122" s="12" t="s">
        <v>81</v>
      </c>
      <c r="N122" s="12" t="s">
        <v>82</v>
      </c>
      <c r="O122" s="12" t="s">
        <v>83</v>
      </c>
      <c r="P122" s="12" t="s">
        <v>84</v>
      </c>
      <c r="Q122" s="12" t="s">
        <v>85</v>
      </c>
    </row>
    <row r="123" spans="1:20" x14ac:dyDescent="0.3">
      <c r="A123" s="10" t="s">
        <v>77</v>
      </c>
      <c r="B123" s="10">
        <v>1</v>
      </c>
      <c r="C123" s="10">
        <v>21.249184247608692</v>
      </c>
      <c r="D123" s="10">
        <v>21.249184247608692</v>
      </c>
      <c r="E123" s="10">
        <v>9.3542165595484477</v>
      </c>
      <c r="F123" s="10">
        <v>9.9272952716006196E-3</v>
      </c>
      <c r="L123" s="10" t="s">
        <v>77</v>
      </c>
      <c r="M123" s="10">
        <v>2</v>
      </c>
      <c r="N123" s="10">
        <v>22.344944980520392</v>
      </c>
      <c r="O123" s="10">
        <v>11.172472490260196</v>
      </c>
      <c r="P123" s="10">
        <v>4.6972539390470054</v>
      </c>
      <c r="Q123" s="10">
        <v>3.3522546530050455E-2</v>
      </c>
    </row>
    <row r="124" spans="1:20" x14ac:dyDescent="0.3">
      <c r="A124" s="10" t="s">
        <v>78</v>
      </c>
      <c r="B124" s="10">
        <v>12</v>
      </c>
      <c r="C124" s="10">
        <v>27.259387180962737</v>
      </c>
      <c r="D124" s="10">
        <v>2.2716155984135615</v>
      </c>
      <c r="E124" s="10"/>
      <c r="F124" s="10"/>
      <c r="L124" s="10" t="s">
        <v>78</v>
      </c>
      <c r="M124" s="10">
        <v>11</v>
      </c>
      <c r="N124" s="10">
        <v>26.163626448051037</v>
      </c>
      <c r="O124" s="10">
        <v>2.3785114952773672</v>
      </c>
      <c r="P124" s="10"/>
      <c r="Q124" s="10"/>
    </row>
    <row r="125" spans="1:20" ht="15" thickBot="1" x14ac:dyDescent="0.35">
      <c r="A125" s="11" t="s">
        <v>79</v>
      </c>
      <c r="B125" s="11">
        <v>13</v>
      </c>
      <c r="C125" s="11">
        <v>48.508571428571429</v>
      </c>
      <c r="D125" s="11"/>
      <c r="E125" s="11"/>
      <c r="F125" s="11"/>
      <c r="L125" s="11" t="s">
        <v>79</v>
      </c>
      <c r="M125" s="11">
        <v>13</v>
      </c>
      <c r="N125" s="11">
        <v>48.508571428571429</v>
      </c>
      <c r="O125" s="11"/>
      <c r="P125" s="11"/>
      <c r="Q125" s="11"/>
    </row>
    <row r="126" spans="1:20" ht="15" thickBot="1" x14ac:dyDescent="0.35"/>
    <row r="127" spans="1:20" x14ac:dyDescent="0.3">
      <c r="A127" s="12"/>
      <c r="B127" s="12" t="s">
        <v>86</v>
      </c>
      <c r="C127" s="12" t="s">
        <v>69</v>
      </c>
      <c r="D127" s="12" t="s">
        <v>87</v>
      </c>
      <c r="E127" s="12" t="s">
        <v>88</v>
      </c>
      <c r="F127" s="12" t="s">
        <v>89</v>
      </c>
      <c r="G127" s="12" t="s">
        <v>90</v>
      </c>
      <c r="H127" s="12" t="s">
        <v>91</v>
      </c>
      <c r="I127" s="12" t="s">
        <v>92</v>
      </c>
      <c r="L127" s="12"/>
      <c r="M127" s="12" t="s">
        <v>86</v>
      </c>
      <c r="N127" s="12" t="s">
        <v>69</v>
      </c>
      <c r="O127" s="12" t="s">
        <v>87</v>
      </c>
      <c r="P127" s="12" t="s">
        <v>88</v>
      </c>
      <c r="Q127" s="12" t="s">
        <v>89</v>
      </c>
      <c r="R127" s="12" t="s">
        <v>90</v>
      </c>
      <c r="S127" s="12" t="s">
        <v>91</v>
      </c>
      <c r="T127" s="12" t="s">
        <v>92</v>
      </c>
    </row>
    <row r="128" spans="1:20" x14ac:dyDescent="0.3">
      <c r="A128" s="10" t="s">
        <v>80</v>
      </c>
      <c r="B128" s="10">
        <v>2.9529019570538768</v>
      </c>
      <c r="C128" s="10">
        <v>1.5493461877053374</v>
      </c>
      <c r="D128" s="10">
        <v>1.9059019736752822</v>
      </c>
      <c r="E128" s="10">
        <v>8.0893606285548758E-2</v>
      </c>
      <c r="F128" s="10">
        <v>-0.42283339431452216</v>
      </c>
      <c r="G128" s="10">
        <v>6.3286373084222758</v>
      </c>
      <c r="H128" s="10">
        <v>-0.42283339431452216</v>
      </c>
      <c r="I128" s="10">
        <v>6.3286373084222758</v>
      </c>
      <c r="L128" s="10" t="s">
        <v>80</v>
      </c>
      <c r="M128" s="10">
        <v>6.4996000411735011</v>
      </c>
      <c r="N128" s="10">
        <v>5.4606014288768954</v>
      </c>
      <c r="O128" s="10">
        <v>1.1902718273489339</v>
      </c>
      <c r="P128" s="10">
        <v>0.25899374445669993</v>
      </c>
      <c r="Q128" s="10">
        <v>-5.5191026689597411</v>
      </c>
      <c r="R128" s="10">
        <v>18.518302751306742</v>
      </c>
      <c r="S128" s="10">
        <v>-5.5191026689597411</v>
      </c>
      <c r="T128" s="10">
        <v>18.518302751306742</v>
      </c>
    </row>
    <row r="129" spans="1:20" ht="15" thickBot="1" x14ac:dyDescent="0.35">
      <c r="A129" s="11" t="s">
        <v>6</v>
      </c>
      <c r="B129" s="11">
        <v>16.738796080806296</v>
      </c>
      <c r="C129" s="11">
        <v>5.4729377521694618</v>
      </c>
      <c r="D129" s="11">
        <v>3.0584663737808948</v>
      </c>
      <c r="E129" s="11">
        <v>9.9272952716006092E-3</v>
      </c>
      <c r="F129" s="11">
        <v>4.8142890904093498</v>
      </c>
      <c r="G129" s="11">
        <v>28.663303071203242</v>
      </c>
      <c r="H129" s="11">
        <v>4.8142890904093498</v>
      </c>
      <c r="I129" s="11">
        <v>28.663303071203242</v>
      </c>
      <c r="L129" s="10" t="s">
        <v>6</v>
      </c>
      <c r="M129" s="10">
        <v>8.8118412808429714</v>
      </c>
      <c r="N129" s="10">
        <v>12.952171978885934</v>
      </c>
      <c r="O129" s="10">
        <v>0.6803369577865126</v>
      </c>
      <c r="P129" s="10">
        <v>0.51035683022273659</v>
      </c>
      <c r="Q129" s="10">
        <v>-19.695697035639718</v>
      </c>
      <c r="R129" s="10">
        <v>37.319379597325664</v>
      </c>
      <c r="S129" s="10">
        <v>-19.695697035639718</v>
      </c>
      <c r="T129" s="10">
        <v>37.319379597325664</v>
      </c>
    </row>
    <row r="130" spans="1:20" ht="15" thickBot="1" x14ac:dyDescent="0.35">
      <c r="L130" s="11" t="s">
        <v>161</v>
      </c>
      <c r="M130" s="11">
        <v>-0.19213047947006678</v>
      </c>
      <c r="N130" s="11">
        <v>0.28306816350263747</v>
      </c>
      <c r="O130" s="11">
        <v>-0.67874280559380751</v>
      </c>
      <c r="P130" s="11">
        <v>0.51132836403315673</v>
      </c>
      <c r="Q130" s="11">
        <v>-0.81515930663376535</v>
      </c>
      <c r="R130" s="11">
        <v>0.43089834769363178</v>
      </c>
      <c r="S130" s="11">
        <v>-0.81515930663376535</v>
      </c>
      <c r="T130" s="11">
        <v>0.43089834769363178</v>
      </c>
    </row>
    <row r="134" spans="1:20" x14ac:dyDescent="0.3">
      <c r="A134" t="s">
        <v>123</v>
      </c>
      <c r="I134">
        <f>((C124-N124)/(M123-B123))/(N124/(B125+1-(M123+1)))</f>
        <v>0.46069179614535299</v>
      </c>
      <c r="K134" t="s">
        <v>292</v>
      </c>
    </row>
    <row r="135" spans="1:20" x14ac:dyDescent="0.3">
      <c r="A135" t="s">
        <v>124</v>
      </c>
      <c r="I135">
        <f>_xlfn.F.DIST.RT(I134,B124-M124,M124)</f>
        <v>0.51132836403315685</v>
      </c>
    </row>
    <row r="136" spans="1:20" x14ac:dyDescent="0.3">
      <c r="A136" t="s">
        <v>125</v>
      </c>
    </row>
    <row r="137" spans="1:20" x14ac:dyDescent="0.3">
      <c r="A137" t="s">
        <v>307</v>
      </c>
    </row>
    <row r="140" spans="1:20" x14ac:dyDescent="0.3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20" x14ac:dyDescent="0.3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20" x14ac:dyDescent="0.3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20" x14ac:dyDescent="0.3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spans="1:20" x14ac:dyDescent="0.3">
      <c r="A144" s="24"/>
      <c r="B144" s="24"/>
      <c r="C144" s="7"/>
      <c r="D144" s="7"/>
      <c r="E144" s="7"/>
      <c r="F144" s="7"/>
      <c r="G144" s="7"/>
      <c r="H144" s="7"/>
      <c r="I144" s="7"/>
      <c r="J144" s="7"/>
    </row>
    <row r="145" spans="1:10" x14ac:dyDescent="0.3">
      <c r="A145" s="10"/>
      <c r="B145" s="10"/>
      <c r="C145" s="7"/>
      <c r="D145" s="7"/>
      <c r="E145" s="7"/>
      <c r="F145" s="7"/>
      <c r="G145" s="7"/>
      <c r="H145" s="7"/>
      <c r="I145" s="7"/>
      <c r="J145" s="7"/>
    </row>
    <row r="146" spans="1:10" x14ac:dyDescent="0.3">
      <c r="A146" s="10"/>
      <c r="B146" s="10"/>
      <c r="C146" s="7"/>
      <c r="D146" s="7"/>
      <c r="E146" s="7"/>
      <c r="F146" s="7"/>
      <c r="G146" s="7"/>
      <c r="H146" s="7"/>
      <c r="I146" s="7"/>
      <c r="J146" s="7"/>
    </row>
    <row r="147" spans="1:10" x14ac:dyDescent="0.3">
      <c r="A147" s="10"/>
      <c r="B147" s="10"/>
      <c r="C147" s="7"/>
      <c r="D147" s="7"/>
      <c r="E147" s="7"/>
      <c r="F147" s="7"/>
      <c r="G147" s="7"/>
      <c r="H147" s="7"/>
      <c r="I147" s="7"/>
      <c r="J147" s="7"/>
    </row>
    <row r="148" spans="1:10" x14ac:dyDescent="0.3">
      <c r="A148" s="10"/>
      <c r="B148" s="10"/>
      <c r="C148" s="7"/>
      <c r="D148" s="7"/>
      <c r="E148" s="7"/>
      <c r="F148" s="7"/>
      <c r="G148" s="7"/>
      <c r="H148" s="7"/>
      <c r="I148" s="7"/>
      <c r="J148" s="7"/>
    </row>
    <row r="149" spans="1:10" x14ac:dyDescent="0.3">
      <c r="A149" s="10"/>
      <c r="B149" s="10"/>
      <c r="C149" s="7"/>
      <c r="D149" s="7"/>
      <c r="E149" s="7"/>
      <c r="F149" s="7"/>
      <c r="G149" s="7"/>
      <c r="H149" s="7"/>
      <c r="I149" s="7"/>
      <c r="J149" s="7"/>
    </row>
    <row r="150" spans="1:10" x14ac:dyDescent="0.3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spans="1:10" x14ac:dyDescent="0.3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spans="1:10" x14ac:dyDescent="0.3">
      <c r="A152" s="25"/>
      <c r="B152" s="25"/>
      <c r="C152" s="25"/>
      <c r="D152" s="25"/>
      <c r="E152" s="25"/>
      <c r="F152" s="25"/>
      <c r="G152" s="7"/>
      <c r="H152" s="7"/>
      <c r="I152" s="7"/>
      <c r="J152" s="7"/>
    </row>
    <row r="153" spans="1:10" x14ac:dyDescent="0.3">
      <c r="A153" s="10"/>
      <c r="B153" s="10"/>
      <c r="C153" s="10"/>
      <c r="D153" s="10"/>
      <c r="E153" s="10"/>
      <c r="F153" s="10"/>
      <c r="G153" s="7"/>
      <c r="H153" s="7"/>
      <c r="I153" s="7"/>
      <c r="J153" s="7"/>
    </row>
    <row r="154" spans="1:10" x14ac:dyDescent="0.3">
      <c r="A154" s="10"/>
      <c r="B154" s="10"/>
      <c r="C154" s="10"/>
      <c r="D154" s="10"/>
      <c r="E154" s="10"/>
      <c r="F154" s="10"/>
      <c r="G154" s="7"/>
      <c r="H154" s="7"/>
      <c r="I154" s="7"/>
      <c r="J154" s="7"/>
    </row>
    <row r="155" spans="1:10" x14ac:dyDescent="0.3">
      <c r="A155" s="10"/>
      <c r="B155" s="10"/>
      <c r="C155" s="10"/>
      <c r="D155" s="10"/>
      <c r="E155" s="10"/>
      <c r="F155" s="10"/>
      <c r="G155" s="7"/>
      <c r="H155" s="7"/>
      <c r="I155" s="7"/>
      <c r="J155" s="7"/>
    </row>
    <row r="156" spans="1:10" x14ac:dyDescent="0.3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spans="1:10" x14ac:dyDescent="0.3">
      <c r="A157" s="25"/>
      <c r="B157" s="25"/>
      <c r="C157" s="25"/>
      <c r="D157" s="25"/>
      <c r="E157" s="25"/>
      <c r="F157" s="25"/>
      <c r="G157" s="25"/>
      <c r="H157" s="25"/>
      <c r="I157" s="25"/>
      <c r="J157" s="7"/>
    </row>
    <row r="158" spans="1:10" x14ac:dyDescent="0.3">
      <c r="A158" s="10"/>
      <c r="B158" s="10"/>
      <c r="C158" s="10"/>
      <c r="D158" s="10"/>
      <c r="E158" s="10"/>
      <c r="F158" s="10"/>
      <c r="G158" s="10"/>
      <c r="H158" s="10"/>
      <c r="I158" s="10"/>
      <c r="J158" s="7"/>
    </row>
    <row r="159" spans="1:10" x14ac:dyDescent="0.3">
      <c r="A159" s="10"/>
      <c r="B159" s="10"/>
      <c r="C159" s="10"/>
      <c r="D159" s="10"/>
      <c r="E159" s="10"/>
      <c r="F159" s="10"/>
      <c r="G159" s="10"/>
      <c r="H159" s="10"/>
      <c r="I159" s="10"/>
      <c r="J159" s="7"/>
    </row>
    <row r="160" spans="1:10" x14ac:dyDescent="0.3">
      <c r="A160" s="10"/>
      <c r="B160" s="10"/>
      <c r="C160" s="10"/>
      <c r="D160" s="10"/>
      <c r="E160" s="10"/>
      <c r="F160" s="10"/>
      <c r="G160" s="10"/>
      <c r="H160" s="10"/>
      <c r="I160" s="10"/>
      <c r="J160" s="7"/>
    </row>
    <row r="161" spans="1:10" x14ac:dyDescent="0.3">
      <c r="A161" s="10"/>
      <c r="B161" s="10"/>
      <c r="C161" s="10"/>
      <c r="D161" s="10"/>
      <c r="E161" s="10"/>
      <c r="F161" s="10"/>
      <c r="G161" s="10"/>
      <c r="H161" s="10"/>
      <c r="I161" s="10"/>
      <c r="J161" s="7"/>
    </row>
    <row r="162" spans="1:10" x14ac:dyDescent="0.3">
      <c r="A162" s="7"/>
      <c r="B162" s="7"/>
      <c r="C162" s="7"/>
      <c r="D162" s="7"/>
      <c r="E162" s="7"/>
      <c r="F162" s="7"/>
      <c r="G162" s="7"/>
      <c r="H162" s="7"/>
      <c r="I162" s="7"/>
      <c r="J162" s="7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9"/>
  <sheetViews>
    <sheetView topLeftCell="A29" workbookViewId="0">
      <selection activeCell="H71" sqref="H71"/>
    </sheetView>
  </sheetViews>
  <sheetFormatPr defaultRowHeight="14.4" x14ac:dyDescent="0.3"/>
  <sheetData>
    <row r="1" spans="1:8" x14ac:dyDescent="0.3">
      <c r="A1" t="s">
        <v>199</v>
      </c>
      <c r="B1" t="s">
        <v>95</v>
      </c>
    </row>
    <row r="4" spans="1:8" x14ac:dyDescent="0.3">
      <c r="A4" t="s">
        <v>287</v>
      </c>
    </row>
    <row r="5" spans="1:8" x14ac:dyDescent="0.3">
      <c r="A5" t="s">
        <v>101</v>
      </c>
    </row>
    <row r="7" spans="1:8" x14ac:dyDescent="0.3">
      <c r="B7" t="s">
        <v>96</v>
      </c>
    </row>
    <row r="8" spans="1:8" x14ac:dyDescent="0.3">
      <c r="B8" t="s">
        <v>97</v>
      </c>
      <c r="C8" t="s">
        <v>49</v>
      </c>
      <c r="D8" t="s">
        <v>50</v>
      </c>
    </row>
    <row r="9" spans="1:8" x14ac:dyDescent="0.3">
      <c r="B9">
        <v>65</v>
      </c>
      <c r="C9">
        <v>0</v>
      </c>
      <c r="D9">
        <v>5</v>
      </c>
      <c r="F9" t="s">
        <v>99</v>
      </c>
      <c r="G9">
        <f>D9</f>
        <v>5</v>
      </c>
      <c r="H9" t="s">
        <v>100</v>
      </c>
    </row>
    <row r="10" spans="1:8" x14ac:dyDescent="0.3">
      <c r="B10">
        <v>65</v>
      </c>
      <c r="C10">
        <v>0.13500000000000001</v>
      </c>
      <c r="D10">
        <v>10.5</v>
      </c>
      <c r="F10" t="s">
        <v>285</v>
      </c>
      <c r="G10">
        <f>1/((D10-D9)/C10)</f>
        <v>2.4545454545454544E-2</v>
      </c>
      <c r="H10" t="s">
        <v>100</v>
      </c>
    </row>
    <row r="13" spans="1:8" x14ac:dyDescent="0.3">
      <c r="B13" t="s">
        <v>98</v>
      </c>
    </row>
    <row r="14" spans="1:8" x14ac:dyDescent="0.3">
      <c r="B14">
        <v>80</v>
      </c>
      <c r="C14">
        <v>0</v>
      </c>
      <c r="D14">
        <v>5.2</v>
      </c>
      <c r="F14" t="s">
        <v>99</v>
      </c>
      <c r="G14">
        <f>D14</f>
        <v>5.2</v>
      </c>
      <c r="H14" t="s">
        <v>100</v>
      </c>
    </row>
    <row r="15" spans="1:8" x14ac:dyDescent="0.3">
      <c r="B15">
        <v>80</v>
      </c>
      <c r="C15">
        <v>0.1</v>
      </c>
      <c r="D15">
        <v>9.5</v>
      </c>
      <c r="F15" t="s">
        <v>286</v>
      </c>
      <c r="G15">
        <f>1/((D15-D14)/C15)</f>
        <v>2.3255813953488375E-2</v>
      </c>
      <c r="H15" t="s">
        <v>100</v>
      </c>
    </row>
    <row r="18" spans="1:17" x14ac:dyDescent="0.3">
      <c r="E18" t="s">
        <v>130</v>
      </c>
      <c r="F18" t="s">
        <v>13</v>
      </c>
      <c r="G18">
        <f>G14/G9</f>
        <v>1.04</v>
      </c>
    </row>
    <row r="19" spans="1:17" x14ac:dyDescent="0.3">
      <c r="E19" t="s">
        <v>130</v>
      </c>
      <c r="F19" t="s">
        <v>245</v>
      </c>
      <c r="G19">
        <f>G15/G10</f>
        <v>0.94745908699397086</v>
      </c>
    </row>
    <row r="21" spans="1:17" s="5" customFormat="1" x14ac:dyDescent="0.3">
      <c r="A21" s="5" t="s">
        <v>48</v>
      </c>
    </row>
    <row r="22" spans="1:17" x14ac:dyDescent="0.3">
      <c r="N22" t="s">
        <v>163</v>
      </c>
    </row>
    <row r="23" spans="1:17" s="18" customFormat="1" x14ac:dyDescent="0.3">
      <c r="A23" s="18" t="s">
        <v>49</v>
      </c>
      <c r="B23" s="18" t="s">
        <v>138</v>
      </c>
      <c r="C23" s="18" t="s">
        <v>154</v>
      </c>
      <c r="I23" s="18" t="s">
        <v>50</v>
      </c>
      <c r="N23" s="18" t="s">
        <v>49</v>
      </c>
      <c r="O23" s="18" t="s">
        <v>7</v>
      </c>
      <c r="P23" s="18" t="s">
        <v>151</v>
      </c>
      <c r="Q23" s="18" t="s">
        <v>162</v>
      </c>
    </row>
    <row r="24" spans="1:17" x14ac:dyDescent="0.3">
      <c r="A24">
        <f>(N24+P24)/2</f>
        <v>3.9145743767849399E-2</v>
      </c>
      <c r="B24">
        <f>Q24</f>
        <v>65.478858215299695</v>
      </c>
      <c r="C24">
        <f>A24*B24</f>
        <v>2.5632186059074624</v>
      </c>
      <c r="I24">
        <f>O24</f>
        <v>6.6593536898925203</v>
      </c>
      <c r="N24">
        <v>3.9149911365922899E-2</v>
      </c>
      <c r="O24" s="23">
        <v>6.6593536898925203</v>
      </c>
      <c r="P24">
        <v>3.9141576169775899E-2</v>
      </c>
      <c r="Q24" s="23">
        <v>65.478858215299695</v>
      </c>
    </row>
    <row r="25" spans="1:17" x14ac:dyDescent="0.3">
      <c r="A25">
        <f t="shared" ref="A25:A35" si="0">(N25+P25)/2</f>
        <v>8.949204305497499E-2</v>
      </c>
      <c r="B25">
        <f t="shared" ref="B25:B35" si="1">Q25</f>
        <v>64.968880832838707</v>
      </c>
      <c r="C25">
        <f t="shared" ref="C25:C35" si="2">A25*B25</f>
        <v>5.8141978807259411</v>
      </c>
      <c r="I25">
        <f t="shared" ref="I25:I35" si="3">O25</f>
        <v>8.5095301595413293</v>
      </c>
      <c r="N25">
        <v>8.8598144273919197E-2</v>
      </c>
      <c r="O25" s="23">
        <v>8.5095301595413293</v>
      </c>
      <c r="P25">
        <v>9.0385941836030798E-2</v>
      </c>
      <c r="Q25" s="23">
        <v>64.968880832838707</v>
      </c>
    </row>
    <row r="26" spans="1:17" x14ac:dyDescent="0.3">
      <c r="A26">
        <f t="shared" si="0"/>
        <v>0.1374275686836105</v>
      </c>
      <c r="B26">
        <f t="shared" si="1"/>
        <v>63.630235318650598</v>
      </c>
      <c r="C26">
        <f t="shared" si="2"/>
        <v>8.7445485346081533</v>
      </c>
      <c r="I26">
        <f t="shared" si="3"/>
        <v>10.3889918073366</v>
      </c>
      <c r="N26">
        <v>0.13743072967405001</v>
      </c>
      <c r="O26" s="23">
        <v>10.3889918073366</v>
      </c>
      <c r="P26">
        <v>0.13742440769317099</v>
      </c>
      <c r="Q26" s="23">
        <v>63.630235318650598</v>
      </c>
    </row>
    <row r="27" spans="1:17" x14ac:dyDescent="0.3">
      <c r="A27">
        <f t="shared" si="0"/>
        <v>0.17787940769236749</v>
      </c>
      <c r="B27">
        <f t="shared" si="1"/>
        <v>61.047504852344296</v>
      </c>
      <c r="C27">
        <f t="shared" si="2"/>
        <v>10.859094004231933</v>
      </c>
      <c r="I27">
        <f t="shared" si="3"/>
        <v>10.6707643291757</v>
      </c>
      <c r="N27">
        <v>0.17813293514540701</v>
      </c>
      <c r="O27" s="23">
        <v>10.6707643291757</v>
      </c>
      <c r="P27">
        <v>0.17762588023932799</v>
      </c>
      <c r="Q27" s="23">
        <v>61.047504852344296</v>
      </c>
    </row>
    <row r="28" spans="1:17" x14ac:dyDescent="0.3">
      <c r="A28">
        <f t="shared" si="0"/>
        <v>0.22457427896002052</v>
      </c>
      <c r="B28">
        <f t="shared" si="1"/>
        <v>55.403827336744598</v>
      </c>
      <c r="C28">
        <f t="shared" si="2"/>
        <v>12.442274575774892</v>
      </c>
      <c r="I28">
        <f t="shared" si="3"/>
        <v>10.659445517990299</v>
      </c>
      <c r="N28">
        <v>0.22438315473433701</v>
      </c>
      <c r="O28" s="23">
        <v>10.659445517990299</v>
      </c>
      <c r="P28">
        <v>0.22476540318570401</v>
      </c>
      <c r="Q28" s="23">
        <v>55.403827336744598</v>
      </c>
    </row>
    <row r="29" spans="1:17" x14ac:dyDescent="0.3">
      <c r="A29">
        <f t="shared" si="0"/>
        <v>0.27552746726759647</v>
      </c>
      <c r="B29">
        <f t="shared" si="1"/>
        <v>51.202739769974798</v>
      </c>
      <c r="C29">
        <f t="shared" si="2"/>
        <v>14.107761205982991</v>
      </c>
      <c r="I29">
        <f t="shared" si="3"/>
        <v>10.7090925786926</v>
      </c>
      <c r="N29">
        <v>0.27548668891834399</v>
      </c>
      <c r="O29" s="23">
        <v>10.7090925786926</v>
      </c>
      <c r="P29">
        <v>0.27556824561684901</v>
      </c>
      <c r="Q29" s="23">
        <v>51.202739769974798</v>
      </c>
    </row>
    <row r="30" spans="1:17" x14ac:dyDescent="0.3">
      <c r="A30">
        <f t="shared" si="0"/>
        <v>3.1150294401022599E-2</v>
      </c>
      <c r="B30">
        <f t="shared" si="1"/>
        <v>81.198583829646594</v>
      </c>
      <c r="C30">
        <f t="shared" si="2"/>
        <v>2.5293597912396044</v>
      </c>
      <c r="I30">
        <f t="shared" si="3"/>
        <v>6.4384568498798798</v>
      </c>
      <c r="N30">
        <v>3.09920762970133E-2</v>
      </c>
      <c r="O30" s="23">
        <v>6.4384568498798798</v>
      </c>
      <c r="P30">
        <v>3.1308512505031902E-2</v>
      </c>
      <c r="Q30" s="23">
        <v>81.198583829646594</v>
      </c>
    </row>
    <row r="31" spans="1:17" x14ac:dyDescent="0.3">
      <c r="A31">
        <f t="shared" si="0"/>
        <v>7.9406782631484957E-2</v>
      </c>
      <c r="B31">
        <f t="shared" si="1"/>
        <v>75.363383945252394</v>
      </c>
      <c r="C31">
        <f t="shared" si="2"/>
        <v>5.9843638473137997</v>
      </c>
      <c r="I31">
        <f t="shared" si="3"/>
        <v>8.4193825965365097</v>
      </c>
      <c r="N31">
        <v>7.8756588146713893E-2</v>
      </c>
      <c r="O31" s="23">
        <v>8.4193825965365097</v>
      </c>
      <c r="P31">
        <v>8.0056977116256006E-2</v>
      </c>
      <c r="Q31" s="23">
        <v>75.363383945252394</v>
      </c>
    </row>
    <row r="32" spans="1:17" x14ac:dyDescent="0.3">
      <c r="A32">
        <f t="shared" si="0"/>
        <v>0.1050349673832475</v>
      </c>
      <c r="B32">
        <f t="shared" si="1"/>
        <v>72.827902271859202</v>
      </c>
      <c r="C32">
        <f t="shared" si="2"/>
        <v>7.6494763397150676</v>
      </c>
      <c r="I32">
        <f t="shared" si="3"/>
        <v>9.4707970313004104</v>
      </c>
      <c r="N32">
        <v>0.10564698289770801</v>
      </c>
      <c r="O32" s="23">
        <v>9.4707970313004104</v>
      </c>
      <c r="P32">
        <v>0.104422951868787</v>
      </c>
      <c r="Q32" s="23">
        <v>72.827902271859202</v>
      </c>
    </row>
    <row r="33" spans="1:17" x14ac:dyDescent="0.3">
      <c r="A33">
        <f t="shared" si="0"/>
        <v>0.13011618100511452</v>
      </c>
      <c r="B33">
        <f t="shared" si="1"/>
        <v>69.160000412877594</v>
      </c>
      <c r="C33">
        <f t="shared" si="2"/>
        <v>8.9988351320357758</v>
      </c>
      <c r="I33">
        <f t="shared" si="3"/>
        <v>10.2834247606754</v>
      </c>
      <c r="N33">
        <v>0.128987845541572</v>
      </c>
      <c r="O33" s="23">
        <v>10.2834247606754</v>
      </c>
      <c r="P33">
        <v>0.13124451646865701</v>
      </c>
      <c r="Q33" s="23">
        <v>69.160000412877594</v>
      </c>
    </row>
    <row r="34" spans="1:17" x14ac:dyDescent="0.3">
      <c r="A34">
        <f t="shared" si="0"/>
        <v>0.19036311906131398</v>
      </c>
      <c r="B34">
        <f t="shared" si="1"/>
        <v>61.863213633220099</v>
      </c>
      <c r="C34">
        <f t="shared" si="2"/>
        <v>11.77647430237618</v>
      </c>
      <c r="I34">
        <f t="shared" si="3"/>
        <v>11.827829765874201</v>
      </c>
      <c r="N34">
        <v>0.18903230432755999</v>
      </c>
      <c r="O34" s="23">
        <v>11.827829765874201</v>
      </c>
      <c r="P34">
        <v>0.19169393379506799</v>
      </c>
      <c r="Q34" s="23">
        <v>61.863213633220099</v>
      </c>
    </row>
    <row r="35" spans="1:17" x14ac:dyDescent="0.3">
      <c r="A35">
        <f t="shared" si="0"/>
        <v>0.28863510818976051</v>
      </c>
      <c r="B35">
        <f t="shared" si="1"/>
        <v>47.144228486493702</v>
      </c>
      <c r="C35">
        <f t="shared" si="2"/>
        <v>13.6074794897219</v>
      </c>
      <c r="I35">
        <f t="shared" si="3"/>
        <v>11.974292782618001</v>
      </c>
      <c r="N35">
        <v>0.286554802624502</v>
      </c>
      <c r="O35" s="23">
        <v>11.974292782618001</v>
      </c>
      <c r="P35">
        <v>0.29071541375501903</v>
      </c>
      <c r="Q35" s="23">
        <v>47.144228486493702</v>
      </c>
    </row>
    <row r="39" spans="1:17" x14ac:dyDescent="0.3">
      <c r="A39" t="s">
        <v>127</v>
      </c>
      <c r="L39" t="s">
        <v>128</v>
      </c>
    </row>
    <row r="40" spans="1:17" x14ac:dyDescent="0.3">
      <c r="A40" t="s">
        <v>70</v>
      </c>
      <c r="L40" t="s">
        <v>70</v>
      </c>
    </row>
    <row r="41" spans="1:17" ht="15" thickBot="1" x14ac:dyDescent="0.35"/>
    <row r="42" spans="1:17" x14ac:dyDescent="0.3">
      <c r="A42" s="13" t="s">
        <v>71</v>
      </c>
      <c r="B42" s="13"/>
      <c r="L42" s="13" t="s">
        <v>71</v>
      </c>
      <c r="M42" s="13"/>
    </row>
    <row r="43" spans="1:17" x14ac:dyDescent="0.3">
      <c r="A43" s="10" t="s">
        <v>72</v>
      </c>
      <c r="B43" s="10">
        <v>0.8781158945168227</v>
      </c>
      <c r="L43" s="10" t="s">
        <v>72</v>
      </c>
      <c r="M43" s="10">
        <v>0.89019969485597317</v>
      </c>
    </row>
    <row r="44" spans="1:17" x14ac:dyDescent="0.3">
      <c r="A44" s="10" t="s">
        <v>73</v>
      </c>
      <c r="B44" s="10">
        <v>0.77108752420307969</v>
      </c>
      <c r="L44" s="10" t="s">
        <v>73</v>
      </c>
      <c r="M44" s="10">
        <v>0.79245549672166771</v>
      </c>
    </row>
    <row r="45" spans="1:17" x14ac:dyDescent="0.3">
      <c r="A45" s="10" t="s">
        <v>74</v>
      </c>
      <c r="B45" s="10">
        <v>0.74819627662338772</v>
      </c>
      <c r="L45" s="10" t="s">
        <v>74</v>
      </c>
      <c r="M45" s="10">
        <v>0.74633449599314927</v>
      </c>
    </row>
    <row r="46" spans="1:17" x14ac:dyDescent="0.3">
      <c r="A46" s="10" t="s">
        <v>69</v>
      </c>
      <c r="B46" s="10">
        <v>0.9125282390895848</v>
      </c>
      <c r="L46" s="10" t="s">
        <v>69</v>
      </c>
      <c r="M46" s="10">
        <v>0.91589554152837693</v>
      </c>
    </row>
    <row r="47" spans="1:17" ht="15" thickBot="1" x14ac:dyDescent="0.35">
      <c r="A47" s="11" t="s">
        <v>75</v>
      </c>
      <c r="B47" s="11">
        <v>12</v>
      </c>
      <c r="L47" s="11" t="s">
        <v>75</v>
      </c>
      <c r="M47" s="11">
        <v>12</v>
      </c>
    </row>
    <row r="49" spans="1:20" ht="15" thickBot="1" x14ac:dyDescent="0.35">
      <c r="A49" t="s">
        <v>76</v>
      </c>
      <c r="L49" t="s">
        <v>76</v>
      </c>
    </row>
    <row r="50" spans="1:20" x14ac:dyDescent="0.3">
      <c r="A50" s="12"/>
      <c r="B50" s="12" t="s">
        <v>81</v>
      </c>
      <c r="C50" s="12" t="s">
        <v>82</v>
      </c>
      <c r="D50" s="12" t="s">
        <v>83</v>
      </c>
      <c r="E50" s="12" t="s">
        <v>84</v>
      </c>
      <c r="F50" s="12" t="s">
        <v>85</v>
      </c>
      <c r="L50" s="12"/>
      <c r="M50" s="12" t="s">
        <v>81</v>
      </c>
      <c r="N50" s="12" t="s">
        <v>82</v>
      </c>
      <c r="O50" s="12" t="s">
        <v>83</v>
      </c>
      <c r="P50" s="12" t="s">
        <v>84</v>
      </c>
      <c r="Q50" s="12" t="s">
        <v>85</v>
      </c>
    </row>
    <row r="51" spans="1:20" x14ac:dyDescent="0.3">
      <c r="A51" s="10" t="s">
        <v>77</v>
      </c>
      <c r="B51" s="10">
        <v>1</v>
      </c>
      <c r="C51" s="10">
        <v>28.049610827542075</v>
      </c>
      <c r="D51" s="10">
        <v>28.049610827542075</v>
      </c>
      <c r="E51" s="10">
        <v>33.684818685336744</v>
      </c>
      <c r="F51" s="10">
        <v>1.7205163992667347E-4</v>
      </c>
      <c r="L51" s="10" t="s">
        <v>77</v>
      </c>
      <c r="M51" s="10">
        <v>2</v>
      </c>
      <c r="N51" s="10">
        <v>28.826906911977431</v>
      </c>
      <c r="O51" s="10">
        <v>14.413453455988716</v>
      </c>
      <c r="P51" s="10">
        <v>17.18209674994462</v>
      </c>
      <c r="Q51" s="10">
        <v>8.4527993702795512E-4</v>
      </c>
    </row>
    <row r="52" spans="1:20" x14ac:dyDescent="0.3">
      <c r="A52" s="10" t="s">
        <v>78</v>
      </c>
      <c r="B52" s="10">
        <v>10</v>
      </c>
      <c r="C52" s="10">
        <v>8.3270778713593856</v>
      </c>
      <c r="D52" s="10">
        <v>0.83270778713593852</v>
      </c>
      <c r="E52" s="10"/>
      <c r="F52" s="10"/>
      <c r="L52" s="10" t="s">
        <v>78</v>
      </c>
      <c r="M52" s="10">
        <v>9</v>
      </c>
      <c r="N52" s="10">
        <v>7.5497817869240293</v>
      </c>
      <c r="O52" s="10">
        <v>0.83886464299155883</v>
      </c>
      <c r="P52" s="10"/>
      <c r="Q52" s="10"/>
    </row>
    <row r="53" spans="1:20" ht="15" thickBot="1" x14ac:dyDescent="0.35">
      <c r="A53" s="11" t="s">
        <v>79</v>
      </c>
      <c r="B53" s="11">
        <v>11</v>
      </c>
      <c r="C53" s="11">
        <v>36.376688698901461</v>
      </c>
      <c r="D53" s="11"/>
      <c r="E53" s="11"/>
      <c r="F53" s="11"/>
      <c r="L53" s="11" t="s">
        <v>79</v>
      </c>
      <c r="M53" s="11">
        <v>11</v>
      </c>
      <c r="N53" s="11">
        <v>36.376688698901461</v>
      </c>
      <c r="O53" s="11"/>
      <c r="P53" s="11"/>
      <c r="Q53" s="11"/>
    </row>
    <row r="54" spans="1:20" ht="15" thickBot="1" x14ac:dyDescent="0.35"/>
    <row r="55" spans="1:20" x14ac:dyDescent="0.3">
      <c r="A55" s="12"/>
      <c r="B55" s="12" t="s">
        <v>86</v>
      </c>
      <c r="C55" s="12" t="s">
        <v>69</v>
      </c>
      <c r="D55" s="12" t="s">
        <v>87</v>
      </c>
      <c r="E55" s="12" t="s">
        <v>88</v>
      </c>
      <c r="F55" s="12" t="s">
        <v>89</v>
      </c>
      <c r="G55" s="12" t="s">
        <v>90</v>
      </c>
      <c r="H55" s="12" t="s">
        <v>91</v>
      </c>
      <c r="I55" s="12" t="s">
        <v>92</v>
      </c>
      <c r="L55" s="12"/>
      <c r="M55" s="12" t="s">
        <v>86</v>
      </c>
      <c r="N55" s="12" t="s">
        <v>69</v>
      </c>
      <c r="O55" s="12" t="s">
        <v>87</v>
      </c>
      <c r="P55" s="12" t="s">
        <v>88</v>
      </c>
      <c r="Q55" s="12" t="s">
        <v>89</v>
      </c>
      <c r="R55" s="12" t="s">
        <v>90</v>
      </c>
      <c r="S55" s="12" t="s">
        <v>91</v>
      </c>
      <c r="T55" s="12" t="s">
        <v>92</v>
      </c>
    </row>
    <row r="56" spans="1:20" x14ac:dyDescent="0.3">
      <c r="A56" s="10" t="s">
        <v>80</v>
      </c>
      <c r="B56" s="10">
        <v>6.9161779296713588</v>
      </c>
      <c r="C56" s="10">
        <v>0.54234162463479074</v>
      </c>
      <c r="D56" s="10">
        <v>12.752437975471027</v>
      </c>
      <c r="E56" s="10">
        <v>1.6456678882070803E-7</v>
      </c>
      <c r="F56" s="10">
        <v>5.7077654847732253</v>
      </c>
      <c r="G56" s="10">
        <v>8.1245903745694932</v>
      </c>
      <c r="H56" s="10">
        <v>5.7077654847732253</v>
      </c>
      <c r="I56" s="10">
        <v>8.1245903745694932</v>
      </c>
      <c r="L56" s="10" t="s">
        <v>80</v>
      </c>
      <c r="M56" s="10">
        <v>2.0799389160051462</v>
      </c>
      <c r="N56" s="10">
        <v>5.0535278889303088</v>
      </c>
      <c r="O56" s="10">
        <v>0.41158156474434959</v>
      </c>
      <c r="P56" s="10">
        <v>0.69027499717577179</v>
      </c>
      <c r="Q56" s="10">
        <v>-9.3519353953390461</v>
      </c>
      <c r="R56" s="10">
        <v>13.511813227349338</v>
      </c>
      <c r="S56" s="10">
        <v>-9.3519353953390461</v>
      </c>
      <c r="T56" s="10">
        <v>13.511813227349338</v>
      </c>
    </row>
    <row r="57" spans="1:20" ht="15" thickBot="1" x14ac:dyDescent="0.35">
      <c r="A57" s="11" t="s">
        <v>49</v>
      </c>
      <c r="B57" s="11">
        <v>18.666952039637625</v>
      </c>
      <c r="C57" s="11">
        <v>3.2162981775392212</v>
      </c>
      <c r="D57" s="11">
        <v>5.8038623937285712</v>
      </c>
      <c r="E57" s="11">
        <v>1.7205163992667363E-4</v>
      </c>
      <c r="F57" s="11">
        <v>11.500593110689838</v>
      </c>
      <c r="G57" s="11">
        <v>25.833310968585412</v>
      </c>
      <c r="H57" s="11">
        <v>11.500593110689838</v>
      </c>
      <c r="I57" s="11">
        <v>25.833310968585412</v>
      </c>
      <c r="L57" s="10" t="s">
        <v>49</v>
      </c>
      <c r="M57" s="10">
        <v>24.962870062661256</v>
      </c>
      <c r="N57" s="10">
        <v>7.2937892168370677</v>
      </c>
      <c r="O57" s="10">
        <v>3.4224830634036802</v>
      </c>
      <c r="P57" s="10">
        <v>7.5980278508890244E-3</v>
      </c>
      <c r="Q57" s="10">
        <v>8.4631725418529697</v>
      </c>
      <c r="R57" s="10">
        <v>41.462567583469543</v>
      </c>
      <c r="S57" s="10">
        <v>8.4631725418529697</v>
      </c>
      <c r="T57" s="10">
        <v>41.462567583469543</v>
      </c>
    </row>
    <row r="58" spans="1:20" ht="15" thickBot="1" x14ac:dyDescent="0.35">
      <c r="L58" s="11" t="s">
        <v>138</v>
      </c>
      <c r="M58" s="11">
        <v>6.0963984447134766E-2</v>
      </c>
      <c r="N58" s="11">
        <v>6.3332414946320206E-2</v>
      </c>
      <c r="O58" s="11">
        <v>0.96260318667473999</v>
      </c>
      <c r="P58" s="11">
        <v>0.36089508510126711</v>
      </c>
      <c r="Q58" s="11">
        <v>-8.2303891660991613E-2</v>
      </c>
      <c r="R58" s="11">
        <v>0.20423186055526116</v>
      </c>
      <c r="S58" s="11">
        <v>-8.2303891660991613E-2</v>
      </c>
      <c r="T58" s="11">
        <v>0.20423186055526116</v>
      </c>
    </row>
    <row r="61" spans="1:20" x14ac:dyDescent="0.3">
      <c r="A61" t="s">
        <v>123</v>
      </c>
      <c r="I61">
        <f>((C52-N52)/(M51-B51))/(N52/(B53+1-(M51+1)))</f>
        <v>0.92660489499636456</v>
      </c>
      <c r="K61" t="s">
        <v>292</v>
      </c>
    </row>
    <row r="62" spans="1:20" x14ac:dyDescent="0.3">
      <c r="A62" t="s">
        <v>124</v>
      </c>
      <c r="I62">
        <f>_xlfn.F.DIST.RT(I61,B52-M52,M52)</f>
        <v>0.36089508510126711</v>
      </c>
    </row>
    <row r="63" spans="1:20" x14ac:dyDescent="0.3">
      <c r="A63" t="s">
        <v>125</v>
      </c>
    </row>
    <row r="64" spans="1:20" x14ac:dyDescent="0.3">
      <c r="A64" t="s">
        <v>126</v>
      </c>
    </row>
    <row r="67" spans="1:17" x14ac:dyDescent="0.3">
      <c r="A67" t="s">
        <v>127</v>
      </c>
      <c r="L67" t="s">
        <v>146</v>
      </c>
    </row>
    <row r="68" spans="1:17" x14ac:dyDescent="0.3">
      <c r="A68" t="s">
        <v>70</v>
      </c>
      <c r="L68" t="s">
        <v>70</v>
      </c>
    </row>
    <row r="69" spans="1:17" ht="15" thickBot="1" x14ac:dyDescent="0.35"/>
    <row r="70" spans="1:17" x14ac:dyDescent="0.3">
      <c r="A70" s="13" t="s">
        <v>71</v>
      </c>
      <c r="B70" s="13"/>
      <c r="L70" s="13" t="s">
        <v>71</v>
      </c>
      <c r="M70" s="13"/>
    </row>
    <row r="71" spans="1:17" x14ac:dyDescent="0.3">
      <c r="A71" s="10" t="s">
        <v>72</v>
      </c>
      <c r="B71" s="10">
        <v>0.8781158945168227</v>
      </c>
      <c r="L71" s="10" t="s">
        <v>72</v>
      </c>
      <c r="M71" s="10">
        <v>0.96126160153088092</v>
      </c>
    </row>
    <row r="72" spans="1:17" x14ac:dyDescent="0.3">
      <c r="A72" s="10" t="s">
        <v>73</v>
      </c>
      <c r="B72" s="10">
        <v>0.77108752420307969</v>
      </c>
      <c r="L72" s="10" t="s">
        <v>73</v>
      </c>
      <c r="M72" s="10">
        <v>0.92402386657771407</v>
      </c>
    </row>
    <row r="73" spans="1:17" x14ac:dyDescent="0.3">
      <c r="A73" s="10" t="s">
        <v>74</v>
      </c>
      <c r="B73" s="10">
        <v>0.74819627662338772</v>
      </c>
      <c r="L73" s="10" t="s">
        <v>74</v>
      </c>
      <c r="M73" s="10">
        <v>0.89553281654435679</v>
      </c>
    </row>
    <row r="74" spans="1:17" x14ac:dyDescent="0.3">
      <c r="A74" s="10" t="s">
        <v>69</v>
      </c>
      <c r="B74" s="10">
        <v>0.9125282390895848</v>
      </c>
      <c r="L74" s="10" t="s">
        <v>69</v>
      </c>
      <c r="M74" s="10">
        <v>0.58776697700371627</v>
      </c>
    </row>
    <row r="75" spans="1:17" ht="15" thickBot="1" x14ac:dyDescent="0.35">
      <c r="A75" s="11" t="s">
        <v>75</v>
      </c>
      <c r="B75" s="11">
        <v>12</v>
      </c>
      <c r="L75" s="11" t="s">
        <v>75</v>
      </c>
      <c r="M75" s="11">
        <v>12</v>
      </c>
    </row>
    <row r="77" spans="1:17" ht="15" thickBot="1" x14ac:dyDescent="0.35">
      <c r="A77" t="s">
        <v>76</v>
      </c>
      <c r="L77" t="s">
        <v>76</v>
      </c>
    </row>
    <row r="78" spans="1:17" x14ac:dyDescent="0.3">
      <c r="A78" s="12"/>
      <c r="B78" s="12" t="s">
        <v>81</v>
      </c>
      <c r="C78" s="12" t="s">
        <v>82</v>
      </c>
      <c r="D78" s="12" t="s">
        <v>83</v>
      </c>
      <c r="E78" s="12" t="s">
        <v>84</v>
      </c>
      <c r="F78" s="12" t="s">
        <v>85</v>
      </c>
      <c r="L78" s="12"/>
      <c r="M78" s="12" t="s">
        <v>81</v>
      </c>
      <c r="N78" s="12" t="s">
        <v>82</v>
      </c>
      <c r="O78" s="12" t="s">
        <v>83</v>
      </c>
      <c r="P78" s="12" t="s">
        <v>84</v>
      </c>
      <c r="Q78" s="12" t="s">
        <v>85</v>
      </c>
    </row>
    <row r="79" spans="1:17" x14ac:dyDescent="0.3">
      <c r="A79" s="10" t="s">
        <v>77</v>
      </c>
      <c r="B79" s="10">
        <v>1</v>
      </c>
      <c r="C79" s="10">
        <v>28.049610827542075</v>
      </c>
      <c r="D79" s="10">
        <v>28.049610827542075</v>
      </c>
      <c r="E79" s="10">
        <v>33.684818685336744</v>
      </c>
      <c r="F79" s="10">
        <v>1.7205163992667347E-4</v>
      </c>
      <c r="L79" s="10" t="s">
        <v>77</v>
      </c>
      <c r="M79" s="10">
        <v>3</v>
      </c>
      <c r="N79" s="10">
        <v>33.612928544852764</v>
      </c>
      <c r="O79" s="10">
        <v>11.204309514950921</v>
      </c>
      <c r="P79" s="10">
        <v>32.432074826862141</v>
      </c>
      <c r="Q79" s="10">
        <v>7.9466371266821459E-5</v>
      </c>
    </row>
    <row r="80" spans="1:17" x14ac:dyDescent="0.3">
      <c r="A80" s="10" t="s">
        <v>78</v>
      </c>
      <c r="B80" s="10">
        <v>10</v>
      </c>
      <c r="C80" s="10">
        <v>8.3270778713593856</v>
      </c>
      <c r="D80" s="10">
        <v>0.83270778713593852</v>
      </c>
      <c r="E80" s="10"/>
      <c r="F80" s="10"/>
      <c r="L80" s="10" t="s">
        <v>78</v>
      </c>
      <c r="M80" s="10">
        <v>8</v>
      </c>
      <c r="N80" s="10">
        <v>2.7637601540486969</v>
      </c>
      <c r="O80" s="10">
        <v>0.34547001925608711</v>
      </c>
      <c r="P80" s="10"/>
      <c r="Q80" s="10"/>
    </row>
    <row r="81" spans="1:20" ht="15" thickBot="1" x14ac:dyDescent="0.35">
      <c r="A81" s="11" t="s">
        <v>79</v>
      </c>
      <c r="B81" s="11">
        <v>11</v>
      </c>
      <c r="C81" s="11">
        <v>36.376688698901461</v>
      </c>
      <c r="D81" s="11"/>
      <c r="E81" s="11"/>
      <c r="F81" s="11"/>
      <c r="L81" s="11" t="s">
        <v>79</v>
      </c>
      <c r="M81" s="11">
        <v>11</v>
      </c>
      <c r="N81" s="11">
        <v>36.376688698901461</v>
      </c>
      <c r="O81" s="11"/>
      <c r="P81" s="11"/>
      <c r="Q81" s="11"/>
    </row>
    <row r="82" spans="1:20" ht="15" thickBot="1" x14ac:dyDescent="0.35"/>
    <row r="83" spans="1:20" x14ac:dyDescent="0.3">
      <c r="A83" s="12"/>
      <c r="B83" s="12" t="s">
        <v>86</v>
      </c>
      <c r="C83" s="12" t="s">
        <v>69</v>
      </c>
      <c r="D83" s="12" t="s">
        <v>87</v>
      </c>
      <c r="E83" s="12" t="s">
        <v>88</v>
      </c>
      <c r="F83" s="12" t="s">
        <v>89</v>
      </c>
      <c r="G83" s="12" t="s">
        <v>90</v>
      </c>
      <c r="H83" s="12" t="s">
        <v>91</v>
      </c>
      <c r="I83" s="12" t="s">
        <v>92</v>
      </c>
      <c r="L83" s="12"/>
      <c r="M83" s="12" t="s">
        <v>86</v>
      </c>
      <c r="N83" s="12" t="s">
        <v>69</v>
      </c>
      <c r="O83" s="12" t="s">
        <v>87</v>
      </c>
      <c r="P83" s="12" t="s">
        <v>88</v>
      </c>
      <c r="Q83" s="12" t="s">
        <v>89</v>
      </c>
      <c r="R83" s="12" t="s">
        <v>90</v>
      </c>
      <c r="S83" s="12" t="s">
        <v>91</v>
      </c>
      <c r="T83" s="12" t="s">
        <v>92</v>
      </c>
    </row>
    <row r="84" spans="1:20" x14ac:dyDescent="0.3">
      <c r="A84" s="10" t="s">
        <v>80</v>
      </c>
      <c r="B84" s="10">
        <v>6.9161779296713588</v>
      </c>
      <c r="C84" s="10">
        <v>0.54234162463479074</v>
      </c>
      <c r="D84" s="10">
        <v>12.752437975471027</v>
      </c>
      <c r="E84" s="10">
        <v>1.6456678882070803E-7</v>
      </c>
      <c r="F84" s="10">
        <v>5.7077654847732253</v>
      </c>
      <c r="G84" s="10">
        <v>8.1245903745694932</v>
      </c>
      <c r="H84" s="10">
        <v>5.7077654847732253</v>
      </c>
      <c r="I84" s="10">
        <v>8.1245903745694932</v>
      </c>
      <c r="L84" s="10" t="s">
        <v>80</v>
      </c>
      <c r="M84" s="10">
        <v>7.6770131118702736</v>
      </c>
      <c r="N84" s="10">
        <v>3.5747285293280053</v>
      </c>
      <c r="O84" s="10">
        <v>2.1475793333356799</v>
      </c>
      <c r="P84" s="10">
        <v>6.4016217023935423E-2</v>
      </c>
      <c r="Q84" s="10">
        <v>-0.56632565899241705</v>
      </c>
      <c r="R84" s="10">
        <v>15.920351882732964</v>
      </c>
      <c r="S84" s="10">
        <v>-0.56632565899241705</v>
      </c>
      <c r="T84" s="10">
        <v>15.920351882732964</v>
      </c>
    </row>
    <row r="85" spans="1:20" ht="15" thickBot="1" x14ac:dyDescent="0.35">
      <c r="A85" s="11" t="s">
        <v>49</v>
      </c>
      <c r="B85" s="11">
        <v>18.666952039637625</v>
      </c>
      <c r="C85" s="11">
        <v>3.2162981775392212</v>
      </c>
      <c r="D85" s="11">
        <v>5.8038623937285712</v>
      </c>
      <c r="E85" s="11">
        <v>1.7205163992667363E-4</v>
      </c>
      <c r="F85" s="11">
        <v>11.500593110689838</v>
      </c>
      <c r="G85" s="11">
        <v>25.833310968585412</v>
      </c>
      <c r="H85" s="11">
        <v>11.500593110689838</v>
      </c>
      <c r="I85" s="11">
        <v>25.833310968585412</v>
      </c>
      <c r="L85" s="10" t="s">
        <v>49</v>
      </c>
      <c r="M85" s="10">
        <v>-23.420757446999779</v>
      </c>
      <c r="N85" s="10">
        <v>13.81622412461447</v>
      </c>
      <c r="O85" s="10">
        <v>-1.6951633988966806</v>
      </c>
      <c r="P85" s="10">
        <v>0.12848978118765811</v>
      </c>
      <c r="Q85" s="10">
        <v>-55.281027411268326</v>
      </c>
      <c r="R85" s="10">
        <v>8.4395125172687635</v>
      </c>
      <c r="S85" s="10">
        <v>-55.281027411268326</v>
      </c>
      <c r="T85" s="10">
        <v>8.4395125172687635</v>
      </c>
    </row>
    <row r="86" spans="1:20" x14ac:dyDescent="0.3">
      <c r="L86" s="10" t="s">
        <v>138</v>
      </c>
      <c r="M86" s="10">
        <v>-3.206462130533555E-2</v>
      </c>
      <c r="N86" s="10">
        <v>4.7713162447824128E-2</v>
      </c>
      <c r="O86" s="10">
        <v>-0.67202884194480383</v>
      </c>
      <c r="P86" s="10">
        <v>0.52049717103681381</v>
      </c>
      <c r="Q86" s="10">
        <v>-0.14209137121368617</v>
      </c>
      <c r="R86" s="10">
        <v>7.7962128603015074E-2</v>
      </c>
      <c r="S86" s="10">
        <v>-0.14209137121368617</v>
      </c>
      <c r="T86" s="10">
        <v>7.7962128603015074E-2</v>
      </c>
    </row>
    <row r="87" spans="1:20" ht="15" thickBot="1" x14ac:dyDescent="0.35">
      <c r="L87" s="11" t="s">
        <v>154</v>
      </c>
      <c r="M87" s="11">
        <v>0.85632097339325419</v>
      </c>
      <c r="N87" s="11">
        <v>0.23006705565978744</v>
      </c>
      <c r="O87" s="11">
        <v>3.7220495169875263</v>
      </c>
      <c r="P87" s="11">
        <v>5.8541502787289989E-3</v>
      </c>
      <c r="Q87" s="11">
        <v>0.32578539166753706</v>
      </c>
      <c r="R87" s="11">
        <v>1.3868565551189713</v>
      </c>
      <c r="S87" s="11">
        <v>0.32578539166753706</v>
      </c>
      <c r="T87" s="11">
        <v>1.3868565551189713</v>
      </c>
    </row>
    <row r="90" spans="1:20" x14ac:dyDescent="0.3">
      <c r="A90" t="s">
        <v>123</v>
      </c>
      <c r="I90">
        <f>((C80-N80)/(M79-B79))/(N80/(B81+1-(M79+1)))</f>
        <v>8.0518097189596638</v>
      </c>
      <c r="K90" t="s">
        <v>292</v>
      </c>
    </row>
    <row r="91" spans="1:20" x14ac:dyDescent="0.3">
      <c r="A91" t="s">
        <v>124</v>
      </c>
      <c r="I91">
        <f>_xlfn.F.DIST.RT(I90,B80-M80,M80)</f>
        <v>1.2134751878900321E-2</v>
      </c>
    </row>
    <row r="92" spans="1:20" x14ac:dyDescent="0.3">
      <c r="A92" t="s">
        <v>310</v>
      </c>
    </row>
    <row r="93" spans="1:20" x14ac:dyDescent="0.3">
      <c r="A93" t="s">
        <v>313</v>
      </c>
    </row>
    <row r="99" spans="1:17" x14ac:dyDescent="0.3">
      <c r="A99" t="s">
        <v>148</v>
      </c>
      <c r="L99" t="s">
        <v>146</v>
      </c>
    </row>
    <row r="100" spans="1:17" x14ac:dyDescent="0.3">
      <c r="A100" t="s">
        <v>70</v>
      </c>
      <c r="L100" t="s">
        <v>70</v>
      </c>
    </row>
    <row r="101" spans="1:17" ht="15" thickBot="1" x14ac:dyDescent="0.35"/>
    <row r="102" spans="1:17" x14ac:dyDescent="0.3">
      <c r="A102" s="13" t="s">
        <v>71</v>
      </c>
      <c r="B102" s="13"/>
      <c r="L102" s="13" t="s">
        <v>71</v>
      </c>
      <c r="M102" s="13"/>
    </row>
    <row r="103" spans="1:17" x14ac:dyDescent="0.3">
      <c r="A103" s="10" t="s">
        <v>72</v>
      </c>
      <c r="B103" s="10">
        <v>0.89019969485597317</v>
      </c>
      <c r="L103" s="10" t="s">
        <v>72</v>
      </c>
      <c r="M103" s="10">
        <v>0.96126160153088092</v>
      </c>
    </row>
    <row r="104" spans="1:17" x14ac:dyDescent="0.3">
      <c r="A104" s="10" t="s">
        <v>73</v>
      </c>
      <c r="B104" s="10">
        <v>0.79245549672166771</v>
      </c>
      <c r="L104" s="10" t="s">
        <v>73</v>
      </c>
      <c r="M104" s="10">
        <v>0.92402386657771407</v>
      </c>
    </row>
    <row r="105" spans="1:17" x14ac:dyDescent="0.3">
      <c r="A105" s="10" t="s">
        <v>74</v>
      </c>
      <c r="B105" s="10">
        <v>0.74633449599314927</v>
      </c>
      <c r="L105" s="10" t="s">
        <v>74</v>
      </c>
      <c r="M105" s="10">
        <v>0.89553281654435679</v>
      </c>
    </row>
    <row r="106" spans="1:17" x14ac:dyDescent="0.3">
      <c r="A106" s="10" t="s">
        <v>69</v>
      </c>
      <c r="B106" s="10">
        <v>0.91589554152837693</v>
      </c>
      <c r="L106" s="10" t="s">
        <v>69</v>
      </c>
      <c r="M106" s="10">
        <v>0.58776697700371627</v>
      </c>
    </row>
    <row r="107" spans="1:17" ht="15" thickBot="1" x14ac:dyDescent="0.35">
      <c r="A107" s="11" t="s">
        <v>75</v>
      </c>
      <c r="B107" s="11">
        <v>12</v>
      </c>
      <c r="L107" s="11" t="s">
        <v>75</v>
      </c>
      <c r="M107" s="11">
        <v>12</v>
      </c>
    </row>
    <row r="109" spans="1:17" ht="15" thickBot="1" x14ac:dyDescent="0.35">
      <c r="A109" t="s">
        <v>76</v>
      </c>
      <c r="L109" t="s">
        <v>76</v>
      </c>
    </row>
    <row r="110" spans="1:17" x14ac:dyDescent="0.3">
      <c r="A110" s="12"/>
      <c r="B110" s="12" t="s">
        <v>81</v>
      </c>
      <c r="C110" s="12" t="s">
        <v>82</v>
      </c>
      <c r="D110" s="12" t="s">
        <v>83</v>
      </c>
      <c r="E110" s="12" t="s">
        <v>84</v>
      </c>
      <c r="F110" s="12" t="s">
        <v>85</v>
      </c>
      <c r="L110" s="12"/>
      <c r="M110" s="12" t="s">
        <v>81</v>
      </c>
      <c r="N110" s="12" t="s">
        <v>82</v>
      </c>
      <c r="O110" s="12" t="s">
        <v>83</v>
      </c>
      <c r="P110" s="12" t="s">
        <v>84</v>
      </c>
      <c r="Q110" s="12" t="s">
        <v>85</v>
      </c>
    </row>
    <row r="111" spans="1:17" x14ac:dyDescent="0.3">
      <c r="A111" s="10" t="s">
        <v>77</v>
      </c>
      <c r="B111" s="10">
        <v>2</v>
      </c>
      <c r="C111" s="10">
        <v>28.826906911977431</v>
      </c>
      <c r="D111" s="10">
        <v>14.413453455988716</v>
      </c>
      <c r="E111" s="10">
        <v>17.18209674994462</v>
      </c>
      <c r="F111" s="10">
        <v>8.4527993702795512E-4</v>
      </c>
      <c r="L111" s="10" t="s">
        <v>77</v>
      </c>
      <c r="M111" s="10">
        <v>3</v>
      </c>
      <c r="N111" s="10">
        <v>33.612928544852764</v>
      </c>
      <c r="O111" s="10">
        <v>11.204309514950921</v>
      </c>
      <c r="P111" s="10">
        <v>32.432074826862141</v>
      </c>
      <c r="Q111" s="10">
        <v>7.9466371266821459E-5</v>
      </c>
    </row>
    <row r="112" spans="1:17" x14ac:dyDescent="0.3">
      <c r="A112" s="10" t="s">
        <v>78</v>
      </c>
      <c r="B112" s="10">
        <v>9</v>
      </c>
      <c r="C112" s="10">
        <v>7.5497817869240293</v>
      </c>
      <c r="D112" s="10">
        <v>0.83886464299155883</v>
      </c>
      <c r="E112" s="10"/>
      <c r="F112" s="10"/>
      <c r="L112" s="10" t="s">
        <v>78</v>
      </c>
      <c r="M112" s="10">
        <v>8</v>
      </c>
      <c r="N112" s="10">
        <v>2.7637601540486969</v>
      </c>
      <c r="O112" s="10">
        <v>0.34547001925608711</v>
      </c>
      <c r="P112" s="10"/>
      <c r="Q112" s="10"/>
    </row>
    <row r="113" spans="1:20" ht="15" thickBot="1" x14ac:dyDescent="0.35">
      <c r="A113" s="11" t="s">
        <v>79</v>
      </c>
      <c r="B113" s="11">
        <v>11</v>
      </c>
      <c r="C113" s="11">
        <v>36.376688698901461</v>
      </c>
      <c r="D113" s="11"/>
      <c r="E113" s="11"/>
      <c r="F113" s="11"/>
      <c r="L113" s="11" t="s">
        <v>79</v>
      </c>
      <c r="M113" s="11">
        <v>11</v>
      </c>
      <c r="N113" s="11">
        <v>36.376688698901461</v>
      </c>
      <c r="O113" s="11"/>
      <c r="P113" s="11"/>
      <c r="Q113" s="11"/>
    </row>
    <row r="114" spans="1:20" ht="15" thickBot="1" x14ac:dyDescent="0.35"/>
    <row r="115" spans="1:20" x14ac:dyDescent="0.3">
      <c r="A115" s="12"/>
      <c r="B115" s="12" t="s">
        <v>86</v>
      </c>
      <c r="C115" s="12" t="s">
        <v>69</v>
      </c>
      <c r="D115" s="12" t="s">
        <v>87</v>
      </c>
      <c r="E115" s="12" t="s">
        <v>88</v>
      </c>
      <c r="F115" s="12" t="s">
        <v>89</v>
      </c>
      <c r="G115" s="12" t="s">
        <v>90</v>
      </c>
      <c r="H115" s="12" t="s">
        <v>91</v>
      </c>
      <c r="I115" s="12" t="s">
        <v>92</v>
      </c>
      <c r="L115" s="12"/>
      <c r="M115" s="12" t="s">
        <v>86</v>
      </c>
      <c r="N115" s="12" t="s">
        <v>69</v>
      </c>
      <c r="O115" s="12" t="s">
        <v>87</v>
      </c>
      <c r="P115" s="12" t="s">
        <v>88</v>
      </c>
      <c r="Q115" s="12" t="s">
        <v>89</v>
      </c>
      <c r="R115" s="12" t="s">
        <v>90</v>
      </c>
      <c r="S115" s="12" t="s">
        <v>91</v>
      </c>
      <c r="T115" s="12" t="s">
        <v>92</v>
      </c>
    </row>
    <row r="116" spans="1:20" x14ac:dyDescent="0.3">
      <c r="A116" s="10" t="s">
        <v>80</v>
      </c>
      <c r="B116" s="10">
        <v>2.0799389160051462</v>
      </c>
      <c r="C116" s="10">
        <v>5.0535278889303088</v>
      </c>
      <c r="D116" s="10">
        <v>0.41158156474434959</v>
      </c>
      <c r="E116" s="10">
        <v>0.69027499717577179</v>
      </c>
      <c r="F116" s="10">
        <v>-9.3519353953390461</v>
      </c>
      <c r="G116" s="10">
        <v>13.511813227349338</v>
      </c>
      <c r="H116" s="10">
        <v>-9.3519353953390461</v>
      </c>
      <c r="I116" s="10">
        <v>13.511813227349338</v>
      </c>
      <c r="L116" s="10" t="s">
        <v>80</v>
      </c>
      <c r="M116" s="10">
        <v>7.6770131118702736</v>
      </c>
      <c r="N116" s="10">
        <v>3.5747285293280053</v>
      </c>
      <c r="O116" s="10">
        <v>2.1475793333356799</v>
      </c>
      <c r="P116" s="10">
        <v>6.4016217023935423E-2</v>
      </c>
      <c r="Q116" s="10">
        <v>-0.56632565899241705</v>
      </c>
      <c r="R116" s="10">
        <v>15.920351882732964</v>
      </c>
      <c r="S116" s="10">
        <v>-0.56632565899241705</v>
      </c>
      <c r="T116" s="10">
        <v>15.920351882732964</v>
      </c>
    </row>
    <row r="117" spans="1:20" x14ac:dyDescent="0.3">
      <c r="A117" s="10" t="s">
        <v>49</v>
      </c>
      <c r="B117" s="10">
        <v>24.962870062661256</v>
      </c>
      <c r="C117" s="10">
        <v>7.2937892168370677</v>
      </c>
      <c r="D117" s="10">
        <v>3.4224830634036802</v>
      </c>
      <c r="E117" s="10">
        <v>7.5980278508890244E-3</v>
      </c>
      <c r="F117" s="10">
        <v>8.4631725418529697</v>
      </c>
      <c r="G117" s="10">
        <v>41.462567583469543</v>
      </c>
      <c r="H117" s="10">
        <v>8.4631725418529697</v>
      </c>
      <c r="I117" s="10">
        <v>41.462567583469543</v>
      </c>
      <c r="L117" s="10" t="s">
        <v>49</v>
      </c>
      <c r="M117" s="10">
        <v>-23.420757446999779</v>
      </c>
      <c r="N117" s="10">
        <v>13.81622412461447</v>
      </c>
      <c r="O117" s="10">
        <v>-1.6951633988966806</v>
      </c>
      <c r="P117" s="10">
        <v>0.12848978118765811</v>
      </c>
      <c r="Q117" s="10">
        <v>-55.281027411268326</v>
      </c>
      <c r="R117" s="10">
        <v>8.4395125172687635</v>
      </c>
      <c r="S117" s="10">
        <v>-55.281027411268326</v>
      </c>
      <c r="T117" s="10">
        <v>8.4395125172687635</v>
      </c>
    </row>
    <row r="118" spans="1:20" ht="15" thickBot="1" x14ac:dyDescent="0.35">
      <c r="A118" s="11" t="s">
        <v>138</v>
      </c>
      <c r="B118" s="11">
        <v>6.0963984447134766E-2</v>
      </c>
      <c r="C118" s="11">
        <v>6.3332414946320206E-2</v>
      </c>
      <c r="D118" s="11">
        <v>0.96260318667473999</v>
      </c>
      <c r="E118" s="11">
        <v>0.36089508510126711</v>
      </c>
      <c r="F118" s="11">
        <v>-8.2303891660991613E-2</v>
      </c>
      <c r="G118" s="11">
        <v>0.20423186055526116</v>
      </c>
      <c r="H118" s="11">
        <v>-8.2303891660991613E-2</v>
      </c>
      <c r="I118" s="11">
        <v>0.20423186055526116</v>
      </c>
      <c r="L118" s="10" t="s">
        <v>138</v>
      </c>
      <c r="M118" s="10">
        <v>-3.206462130533555E-2</v>
      </c>
      <c r="N118" s="10">
        <v>4.7713162447824128E-2</v>
      </c>
      <c r="O118" s="10">
        <v>-0.67202884194480383</v>
      </c>
      <c r="P118" s="10">
        <v>0.52049717103681381</v>
      </c>
      <c r="Q118" s="10">
        <v>-0.14209137121368617</v>
      </c>
      <c r="R118" s="10">
        <v>7.7962128603015074E-2</v>
      </c>
      <c r="S118" s="10">
        <v>-0.14209137121368617</v>
      </c>
      <c r="T118" s="10">
        <v>7.7962128603015074E-2</v>
      </c>
    </row>
    <row r="119" spans="1:20" ht="15" thickBot="1" x14ac:dyDescent="0.35">
      <c r="L119" s="11" t="s">
        <v>154</v>
      </c>
      <c r="M119" s="11">
        <v>0.85632097339325419</v>
      </c>
      <c r="N119" s="11">
        <v>0.23006705565978744</v>
      </c>
      <c r="O119" s="11">
        <v>3.7220495169875263</v>
      </c>
      <c r="P119" s="11">
        <v>5.8541502787289989E-3</v>
      </c>
      <c r="Q119" s="11">
        <v>0.32578539166753706</v>
      </c>
      <c r="R119" s="11">
        <v>1.3868565551189713</v>
      </c>
      <c r="S119" s="11">
        <v>0.32578539166753706</v>
      </c>
      <c r="T119" s="11">
        <v>1.3868565551189713</v>
      </c>
    </row>
    <row r="122" spans="1:20" x14ac:dyDescent="0.3">
      <c r="A122" t="s">
        <v>123</v>
      </c>
      <c r="I122">
        <f>((C112-N112)/(M111-B111))/(N112/(B113+1-(M111+1)))</f>
        <v>13.853652606907087</v>
      </c>
      <c r="K122" t="s">
        <v>292</v>
      </c>
    </row>
    <row r="123" spans="1:20" x14ac:dyDescent="0.3">
      <c r="A123" t="s">
        <v>124</v>
      </c>
      <c r="I123">
        <f>_xlfn.F.DIST.RT(I122,B112-M112,M112)</f>
        <v>5.8541502787289824E-3</v>
      </c>
    </row>
    <row r="124" spans="1:20" x14ac:dyDescent="0.3">
      <c r="A124" t="s">
        <v>310</v>
      </c>
    </row>
    <row r="125" spans="1:20" x14ac:dyDescent="0.3">
      <c r="A125" t="s">
        <v>311</v>
      </c>
    </row>
    <row r="128" spans="1:20" x14ac:dyDescent="0.3">
      <c r="A128" t="s">
        <v>127</v>
      </c>
      <c r="L128" t="s">
        <v>149</v>
      </c>
    </row>
    <row r="129" spans="1:20" x14ac:dyDescent="0.3">
      <c r="A129" t="s">
        <v>70</v>
      </c>
      <c r="L129" t="s">
        <v>70</v>
      </c>
    </row>
    <row r="130" spans="1:20" ht="15" thickBot="1" x14ac:dyDescent="0.35"/>
    <row r="131" spans="1:20" x14ac:dyDescent="0.3">
      <c r="A131" s="13" t="s">
        <v>71</v>
      </c>
      <c r="B131" s="13"/>
      <c r="L131" s="13" t="s">
        <v>71</v>
      </c>
      <c r="M131" s="13"/>
    </row>
    <row r="132" spans="1:20" x14ac:dyDescent="0.3">
      <c r="A132" s="10" t="s">
        <v>72</v>
      </c>
      <c r="B132" s="10">
        <v>0.8781158945168227</v>
      </c>
      <c r="L132" s="10" t="s">
        <v>72</v>
      </c>
      <c r="M132" s="10">
        <v>0.95902804841781641</v>
      </c>
    </row>
    <row r="133" spans="1:20" x14ac:dyDescent="0.3">
      <c r="A133" s="10" t="s">
        <v>73</v>
      </c>
      <c r="B133" s="10">
        <v>0.77108752420307969</v>
      </c>
      <c r="L133" s="10" t="s">
        <v>73</v>
      </c>
      <c r="M133" s="10">
        <v>0.91973479765208566</v>
      </c>
    </row>
    <row r="134" spans="1:20" x14ac:dyDescent="0.3">
      <c r="A134" s="10" t="s">
        <v>74</v>
      </c>
      <c r="B134" s="10">
        <v>0.74819627662338772</v>
      </c>
      <c r="L134" s="10" t="s">
        <v>74</v>
      </c>
      <c r="M134" s="10">
        <v>0.90189808601921584</v>
      </c>
    </row>
    <row r="135" spans="1:20" x14ac:dyDescent="0.3">
      <c r="A135" s="10" t="s">
        <v>69</v>
      </c>
      <c r="B135" s="10">
        <v>0.9125282390895848</v>
      </c>
      <c r="L135" s="10" t="s">
        <v>69</v>
      </c>
      <c r="M135" s="10">
        <v>0.5695790140450141</v>
      </c>
    </row>
    <row r="136" spans="1:20" ht="15" thickBot="1" x14ac:dyDescent="0.35">
      <c r="A136" s="11" t="s">
        <v>75</v>
      </c>
      <c r="B136" s="11">
        <v>12</v>
      </c>
      <c r="L136" s="11" t="s">
        <v>75</v>
      </c>
      <c r="M136" s="11">
        <v>12</v>
      </c>
    </row>
    <row r="138" spans="1:20" ht="15" thickBot="1" x14ac:dyDescent="0.35">
      <c r="A138" t="s">
        <v>76</v>
      </c>
      <c r="L138" t="s">
        <v>76</v>
      </c>
    </row>
    <row r="139" spans="1:20" x14ac:dyDescent="0.3">
      <c r="A139" s="12"/>
      <c r="B139" s="12" t="s">
        <v>81</v>
      </c>
      <c r="C139" s="12" t="s">
        <v>82</v>
      </c>
      <c r="D139" s="12" t="s">
        <v>83</v>
      </c>
      <c r="E139" s="12" t="s">
        <v>84</v>
      </c>
      <c r="F139" s="12" t="s">
        <v>85</v>
      </c>
      <c r="L139" s="12"/>
      <c r="M139" s="12" t="s">
        <v>81</v>
      </c>
      <c r="N139" s="12" t="s">
        <v>82</v>
      </c>
      <c r="O139" s="12" t="s">
        <v>83</v>
      </c>
      <c r="P139" s="12" t="s">
        <v>84</v>
      </c>
      <c r="Q139" s="12" t="s">
        <v>85</v>
      </c>
    </row>
    <row r="140" spans="1:20" x14ac:dyDescent="0.3">
      <c r="A140" s="10" t="s">
        <v>77</v>
      </c>
      <c r="B140" s="10">
        <v>1</v>
      </c>
      <c r="C140" s="10">
        <v>28.049610827542075</v>
      </c>
      <c r="D140" s="10">
        <v>28.049610827542075</v>
      </c>
      <c r="E140" s="10">
        <v>33.684818685336744</v>
      </c>
      <c r="F140" s="10">
        <v>1.7205163992667347E-4</v>
      </c>
      <c r="L140" s="10" t="s">
        <v>77</v>
      </c>
      <c r="M140" s="10">
        <v>2</v>
      </c>
      <c r="N140" s="10">
        <v>33.456906419737045</v>
      </c>
      <c r="O140" s="10">
        <v>16.728453209868523</v>
      </c>
      <c r="P140" s="10">
        <v>51.56414571154361</v>
      </c>
      <c r="Q140" s="10">
        <v>1.1759067192550559E-5</v>
      </c>
    </row>
    <row r="141" spans="1:20" x14ac:dyDescent="0.3">
      <c r="A141" s="10" t="s">
        <v>78</v>
      </c>
      <c r="B141" s="10">
        <v>10</v>
      </c>
      <c r="C141" s="10">
        <v>8.3270778713593856</v>
      </c>
      <c r="D141" s="10">
        <v>0.83270778713593852</v>
      </c>
      <c r="E141" s="10"/>
      <c r="F141" s="10"/>
      <c r="L141" s="10" t="s">
        <v>78</v>
      </c>
      <c r="M141" s="10">
        <v>9</v>
      </c>
      <c r="N141" s="10">
        <v>2.919782279164413</v>
      </c>
      <c r="O141" s="10">
        <v>0.32442025324049034</v>
      </c>
      <c r="P141" s="10"/>
      <c r="Q141" s="10"/>
    </row>
    <row r="142" spans="1:20" ht="15" thickBot="1" x14ac:dyDescent="0.35">
      <c r="A142" s="11" t="s">
        <v>79</v>
      </c>
      <c r="B142" s="11">
        <v>11</v>
      </c>
      <c r="C142" s="11">
        <v>36.376688698901461</v>
      </c>
      <c r="D142" s="11"/>
      <c r="E142" s="11"/>
      <c r="F142" s="11"/>
      <c r="L142" s="11" t="s">
        <v>79</v>
      </c>
      <c r="M142" s="11">
        <v>11</v>
      </c>
      <c r="N142" s="11">
        <v>36.376688698901461</v>
      </c>
      <c r="O142" s="11"/>
      <c r="P142" s="11"/>
      <c r="Q142" s="11"/>
    </row>
    <row r="143" spans="1:20" ht="15" thickBot="1" x14ac:dyDescent="0.35"/>
    <row r="144" spans="1:20" x14ac:dyDescent="0.3">
      <c r="A144" s="12"/>
      <c r="B144" s="12" t="s">
        <v>86</v>
      </c>
      <c r="C144" s="12" t="s">
        <v>69</v>
      </c>
      <c r="D144" s="12" t="s">
        <v>87</v>
      </c>
      <c r="E144" s="12" t="s">
        <v>88</v>
      </c>
      <c r="F144" s="12" t="s">
        <v>89</v>
      </c>
      <c r="G144" s="12" t="s">
        <v>90</v>
      </c>
      <c r="H144" s="12" t="s">
        <v>91</v>
      </c>
      <c r="I144" s="12" t="s">
        <v>92</v>
      </c>
      <c r="L144" s="12"/>
      <c r="M144" s="12" t="s">
        <v>86</v>
      </c>
      <c r="N144" s="12" t="s">
        <v>69</v>
      </c>
      <c r="O144" s="12" t="s">
        <v>87</v>
      </c>
      <c r="P144" s="12" t="s">
        <v>88</v>
      </c>
      <c r="Q144" s="12" t="s">
        <v>89</v>
      </c>
      <c r="R144" s="12" t="s">
        <v>90</v>
      </c>
      <c r="S144" s="12" t="s">
        <v>91</v>
      </c>
      <c r="T144" s="12" t="s">
        <v>92</v>
      </c>
    </row>
    <row r="145" spans="1:20" x14ac:dyDescent="0.3">
      <c r="A145" s="10" t="s">
        <v>80</v>
      </c>
      <c r="B145" s="10">
        <v>6.9161779296713588</v>
      </c>
      <c r="C145" s="10">
        <v>0.54234162463479074</v>
      </c>
      <c r="D145" s="10">
        <v>12.752437975471027</v>
      </c>
      <c r="E145" s="10">
        <v>1.6456678882070803E-7</v>
      </c>
      <c r="F145" s="10">
        <v>5.7077654847732253</v>
      </c>
      <c r="G145" s="10">
        <v>8.1245903745694932</v>
      </c>
      <c r="H145" s="10">
        <v>5.7077654847732253</v>
      </c>
      <c r="I145" s="10">
        <v>8.1245903745694932</v>
      </c>
      <c r="L145" s="10" t="s">
        <v>80</v>
      </c>
      <c r="M145" s="10">
        <v>5.3019659201191152</v>
      </c>
      <c r="N145" s="10">
        <v>0.52050573804446887</v>
      </c>
      <c r="O145" s="10">
        <v>10.186181501165597</v>
      </c>
      <c r="P145" s="10">
        <v>3.0682759568604639E-6</v>
      </c>
      <c r="Q145" s="10">
        <v>4.1245001365242535</v>
      </c>
      <c r="R145" s="10">
        <v>6.4794317037139768</v>
      </c>
      <c r="S145" s="10">
        <v>4.1245001365242535</v>
      </c>
      <c r="T145" s="10">
        <v>6.4794317037139768</v>
      </c>
    </row>
    <row r="146" spans="1:20" ht="15" thickBot="1" x14ac:dyDescent="0.35">
      <c r="A146" s="11" t="s">
        <v>49</v>
      </c>
      <c r="B146" s="11">
        <v>18.666952039637625</v>
      </c>
      <c r="C146" s="11">
        <v>3.2162981775392212</v>
      </c>
      <c r="D146" s="11">
        <v>5.8038623937285712</v>
      </c>
      <c r="E146" s="11">
        <v>1.7205163992667363E-4</v>
      </c>
      <c r="F146" s="11">
        <v>11.500593110689838</v>
      </c>
      <c r="G146" s="11">
        <v>25.833310968585412</v>
      </c>
      <c r="H146" s="11">
        <v>11.500593110689838</v>
      </c>
      <c r="I146" s="11">
        <v>25.833310968585412</v>
      </c>
      <c r="L146" s="10" t="s">
        <v>49</v>
      </c>
      <c r="M146" s="10">
        <v>-16.441870656378459</v>
      </c>
      <c r="N146" s="10">
        <v>8.8308546091607631</v>
      </c>
      <c r="O146" s="10">
        <v>-1.8618663067244186</v>
      </c>
      <c r="P146" s="10">
        <v>9.5528965974968447E-2</v>
      </c>
      <c r="Q146" s="10">
        <v>-36.418651664121029</v>
      </c>
      <c r="R146" s="10">
        <v>3.5349103513641076</v>
      </c>
      <c r="S146" s="10">
        <v>-36.418651664121029</v>
      </c>
      <c r="T146" s="10">
        <v>3.5349103513641076</v>
      </c>
    </row>
    <row r="147" spans="1:20" ht="15" thickBot="1" x14ac:dyDescent="0.35">
      <c r="L147" s="11" t="s">
        <v>154</v>
      </c>
      <c r="M147" s="11">
        <v>0.77532964731987819</v>
      </c>
      <c r="N147" s="11">
        <v>0.18991108496296136</v>
      </c>
      <c r="O147" s="11">
        <v>4.0825929011520934</v>
      </c>
      <c r="P147" s="11">
        <v>2.747324929480027E-3</v>
      </c>
      <c r="Q147" s="11">
        <v>0.34572092617613659</v>
      </c>
      <c r="R147" s="11">
        <v>1.2049383684636199</v>
      </c>
      <c r="S147" s="11">
        <v>0.34572092617613659</v>
      </c>
      <c r="T147" s="11">
        <v>1.2049383684636199</v>
      </c>
    </row>
    <row r="151" spans="1:20" x14ac:dyDescent="0.3">
      <c r="A151" t="s">
        <v>123</v>
      </c>
      <c r="I151">
        <f>((C141-N141)/(M140-B140))/(N141/(B142+1-(M140+1)))</f>
        <v>16.667564796537484</v>
      </c>
      <c r="K151" t="s">
        <v>292</v>
      </c>
    </row>
    <row r="152" spans="1:20" x14ac:dyDescent="0.3">
      <c r="A152" t="s">
        <v>124</v>
      </c>
      <c r="I152">
        <f>_xlfn.F.DIST.RT(I151,B141-M141,M141)</f>
        <v>2.7473249294800201E-3</v>
      </c>
    </row>
    <row r="153" spans="1:20" x14ac:dyDescent="0.3">
      <c r="A153" t="s">
        <v>310</v>
      </c>
    </row>
    <row r="154" spans="1:20" x14ac:dyDescent="0.3">
      <c r="A154" t="s">
        <v>311</v>
      </c>
    </row>
    <row r="158" spans="1:20" x14ac:dyDescent="0.3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spans="1:20" x14ac:dyDescent="0.3">
      <c r="A159" s="7"/>
      <c r="B159" s="7"/>
      <c r="C159" s="7"/>
      <c r="D159" s="7"/>
      <c r="E159" s="7"/>
      <c r="F159" s="7"/>
      <c r="G159" s="7"/>
      <c r="H159" s="7"/>
      <c r="I159" s="7"/>
      <c r="J159" s="7"/>
    </row>
    <row r="160" spans="1:20" x14ac:dyDescent="0.3">
      <c r="A160" s="7"/>
      <c r="B160" s="7"/>
      <c r="C160" s="7"/>
      <c r="D160" s="7"/>
      <c r="E160" s="7"/>
      <c r="F160" s="7"/>
      <c r="G160" s="7"/>
      <c r="H160" s="7"/>
      <c r="I160" s="7"/>
      <c r="J160" s="7"/>
    </row>
    <row r="161" spans="1:10" x14ac:dyDescent="0.3">
      <c r="A161" s="24"/>
      <c r="B161" s="24"/>
      <c r="C161" s="7"/>
      <c r="D161" s="7"/>
      <c r="E161" s="7"/>
      <c r="F161" s="7"/>
      <c r="G161" s="7"/>
      <c r="H161" s="7"/>
      <c r="I161" s="7"/>
      <c r="J161" s="7"/>
    </row>
    <row r="162" spans="1:10" x14ac:dyDescent="0.3">
      <c r="A162" s="10"/>
      <c r="B162" s="10"/>
      <c r="C162" s="7"/>
      <c r="D162" s="7"/>
      <c r="E162" s="7"/>
      <c r="F162" s="7"/>
      <c r="G162" s="7"/>
      <c r="H162" s="7"/>
      <c r="I162" s="7"/>
      <c r="J162" s="7"/>
    </row>
    <row r="163" spans="1:10" x14ac:dyDescent="0.3">
      <c r="A163" s="10"/>
      <c r="B163" s="10"/>
      <c r="C163" s="7"/>
      <c r="D163" s="7"/>
      <c r="E163" s="7"/>
      <c r="F163" s="7"/>
      <c r="G163" s="7"/>
      <c r="H163" s="7"/>
      <c r="I163" s="7"/>
      <c r="J163" s="7"/>
    </row>
    <row r="164" spans="1:10" x14ac:dyDescent="0.3">
      <c r="A164" s="10"/>
      <c r="B164" s="10"/>
      <c r="C164" s="7"/>
      <c r="D164" s="7"/>
      <c r="E164" s="7"/>
      <c r="F164" s="7"/>
      <c r="G164" s="7"/>
      <c r="H164" s="7"/>
      <c r="I164" s="7"/>
      <c r="J164" s="7"/>
    </row>
    <row r="165" spans="1:10" x14ac:dyDescent="0.3">
      <c r="A165" s="10"/>
      <c r="B165" s="10"/>
      <c r="C165" s="7"/>
      <c r="D165" s="7"/>
      <c r="E165" s="7"/>
      <c r="F165" s="7"/>
      <c r="G165" s="7"/>
      <c r="H165" s="7"/>
      <c r="I165" s="7"/>
      <c r="J165" s="7"/>
    </row>
    <row r="166" spans="1:10" x14ac:dyDescent="0.3">
      <c r="A166" s="10"/>
      <c r="B166" s="10"/>
      <c r="C166" s="7"/>
      <c r="D166" s="7"/>
      <c r="E166" s="7"/>
      <c r="F166" s="7"/>
      <c r="G166" s="7"/>
      <c r="H166" s="7"/>
      <c r="I166" s="7"/>
      <c r="J166" s="7"/>
    </row>
    <row r="167" spans="1:10" x14ac:dyDescent="0.3">
      <c r="A167" s="7"/>
      <c r="B167" s="7"/>
      <c r="C167" s="7"/>
      <c r="D167" s="7"/>
      <c r="E167" s="7"/>
      <c r="F167" s="7"/>
      <c r="G167" s="7"/>
      <c r="H167" s="7"/>
      <c r="I167" s="7"/>
      <c r="J167" s="7"/>
    </row>
    <row r="168" spans="1:10" x14ac:dyDescent="0.3">
      <c r="A168" s="7"/>
      <c r="B168" s="7"/>
      <c r="C168" s="7"/>
      <c r="D168" s="7"/>
      <c r="E168" s="7"/>
      <c r="F168" s="7"/>
      <c r="G168" s="7"/>
      <c r="H168" s="7"/>
      <c r="I168" s="7"/>
      <c r="J168" s="7"/>
    </row>
    <row r="169" spans="1:10" x14ac:dyDescent="0.3">
      <c r="A169" s="25"/>
      <c r="B169" s="25"/>
      <c r="C169" s="25"/>
      <c r="D169" s="25"/>
      <c r="E169" s="25"/>
      <c r="F169" s="25"/>
      <c r="G169" s="7"/>
      <c r="H169" s="7"/>
      <c r="I169" s="7"/>
      <c r="J169" s="7"/>
    </row>
    <row r="170" spans="1:10" x14ac:dyDescent="0.3">
      <c r="A170" s="10"/>
      <c r="B170" s="10"/>
      <c r="C170" s="10"/>
      <c r="D170" s="10"/>
      <c r="E170" s="10"/>
      <c r="F170" s="10"/>
      <c r="G170" s="7"/>
      <c r="H170" s="7"/>
      <c r="I170" s="7"/>
      <c r="J170" s="7"/>
    </row>
    <row r="171" spans="1:10" x14ac:dyDescent="0.3">
      <c r="A171" s="10"/>
      <c r="B171" s="10"/>
      <c r="C171" s="10"/>
      <c r="D171" s="10"/>
      <c r="E171" s="10"/>
      <c r="F171" s="10"/>
      <c r="G171" s="7"/>
      <c r="H171" s="7"/>
      <c r="I171" s="7"/>
      <c r="J171" s="7"/>
    </row>
    <row r="172" spans="1:10" x14ac:dyDescent="0.3">
      <c r="A172" s="10"/>
      <c r="B172" s="10"/>
      <c r="C172" s="10"/>
      <c r="D172" s="10"/>
      <c r="E172" s="10"/>
      <c r="F172" s="10"/>
      <c r="G172" s="7"/>
      <c r="H172" s="7"/>
      <c r="I172" s="7"/>
      <c r="J172" s="7"/>
    </row>
    <row r="173" spans="1:10" x14ac:dyDescent="0.3">
      <c r="A173" s="7"/>
      <c r="B173" s="7"/>
      <c r="C173" s="7"/>
      <c r="D173" s="7"/>
      <c r="E173" s="7"/>
      <c r="F173" s="7"/>
      <c r="G173" s="7"/>
      <c r="H173" s="7"/>
      <c r="I173" s="7"/>
      <c r="J173" s="7"/>
    </row>
    <row r="174" spans="1:10" x14ac:dyDescent="0.3">
      <c r="A174" s="25"/>
      <c r="B174" s="25"/>
      <c r="C174" s="25"/>
      <c r="D174" s="25"/>
      <c r="E174" s="25"/>
      <c r="F174" s="25"/>
      <c r="G174" s="25"/>
      <c r="H174" s="25"/>
      <c r="I174" s="25"/>
      <c r="J174" s="7"/>
    </row>
    <row r="175" spans="1:10" x14ac:dyDescent="0.3">
      <c r="A175" s="10"/>
      <c r="B175" s="10"/>
      <c r="C175" s="10"/>
      <c r="D175" s="10"/>
      <c r="E175" s="10"/>
      <c r="F175" s="10"/>
      <c r="G175" s="10"/>
      <c r="H175" s="10"/>
      <c r="I175" s="10"/>
      <c r="J175" s="7"/>
    </row>
    <row r="176" spans="1:10" x14ac:dyDescent="0.3">
      <c r="A176" s="10"/>
      <c r="B176" s="10"/>
      <c r="C176" s="10"/>
      <c r="D176" s="10"/>
      <c r="E176" s="10"/>
      <c r="F176" s="10"/>
      <c r="G176" s="10"/>
      <c r="H176" s="10"/>
      <c r="I176" s="10"/>
      <c r="J176" s="7"/>
    </row>
    <row r="177" spans="1:10" x14ac:dyDescent="0.3">
      <c r="A177" s="10"/>
      <c r="B177" s="10"/>
      <c r="C177" s="10"/>
      <c r="D177" s="10"/>
      <c r="E177" s="10"/>
      <c r="F177" s="10"/>
      <c r="G177" s="10"/>
      <c r="H177" s="10"/>
      <c r="I177" s="10"/>
      <c r="J177" s="7"/>
    </row>
    <row r="178" spans="1:10" x14ac:dyDescent="0.3">
      <c r="A178" s="10"/>
      <c r="B178" s="10"/>
      <c r="C178" s="10"/>
      <c r="D178" s="10"/>
      <c r="E178" s="10"/>
      <c r="F178" s="10"/>
      <c r="G178" s="10"/>
      <c r="H178" s="10"/>
      <c r="I178" s="10"/>
      <c r="J178" s="7"/>
    </row>
    <row r="179" spans="1:10" x14ac:dyDescent="0.3">
      <c r="A179" s="7"/>
      <c r="B179" s="7"/>
      <c r="C179" s="7"/>
      <c r="D179" s="7"/>
      <c r="E179" s="7"/>
      <c r="F179" s="7"/>
      <c r="G179" s="7"/>
      <c r="H179" s="7"/>
      <c r="I179" s="7"/>
      <c r="J179" s="7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8"/>
  <sheetViews>
    <sheetView topLeftCell="A16" workbookViewId="0">
      <selection activeCell="B18" sqref="B18:B26"/>
    </sheetView>
  </sheetViews>
  <sheetFormatPr defaultRowHeight="14.4" x14ac:dyDescent="0.3"/>
  <cols>
    <col min="1" max="2" width="9.5546875" bestFit="1" customWidth="1"/>
    <col min="5" max="5" width="9.6640625" customWidth="1"/>
  </cols>
  <sheetData>
    <row r="1" spans="1:20" x14ac:dyDescent="0.3">
      <c r="A1" t="s">
        <v>199</v>
      </c>
      <c r="B1" t="s">
        <v>201</v>
      </c>
    </row>
    <row r="4" spans="1:20" s="2" customFormat="1" x14ac:dyDescent="0.3">
      <c r="A4" s="2" t="s">
        <v>49</v>
      </c>
      <c r="B4" s="2" t="s">
        <v>138</v>
      </c>
      <c r="C4" s="2" t="s">
        <v>155</v>
      </c>
      <c r="L4" s="2" t="s">
        <v>284</v>
      </c>
      <c r="T4" s="2" t="s">
        <v>151</v>
      </c>
    </row>
    <row r="5" spans="1:20" x14ac:dyDescent="0.3">
      <c r="A5" s="19">
        <v>6.4853556485355596E-2</v>
      </c>
      <c r="B5" s="21">
        <v>9.4311377245508901</v>
      </c>
      <c r="C5">
        <f>A5*B5</f>
        <v>0.61164282314032914</v>
      </c>
      <c r="E5" s="19"/>
      <c r="L5">
        <v>3.2303370786516798</v>
      </c>
      <c r="T5">
        <v>6.4075630252100793E-2</v>
      </c>
    </row>
    <row r="6" spans="1:20" x14ac:dyDescent="0.3">
      <c r="A6" s="19">
        <v>0.121338912133891</v>
      </c>
      <c r="B6" s="21">
        <v>9.4311377245508901</v>
      </c>
      <c r="C6">
        <f t="shared" ref="C6:C33" si="0">A6*B6</f>
        <v>1.1443639916819053</v>
      </c>
      <c r="E6" s="19"/>
      <c r="L6">
        <v>4.3539325842696597</v>
      </c>
      <c r="T6">
        <v>0.109243697478991</v>
      </c>
    </row>
    <row r="7" spans="1:20" x14ac:dyDescent="0.3">
      <c r="A7" s="19">
        <v>0.163179916317991</v>
      </c>
      <c r="B7" s="21">
        <v>8.8023952095808298</v>
      </c>
      <c r="C7">
        <f t="shared" si="0"/>
        <v>1.4363741136972847</v>
      </c>
      <c r="E7" s="19"/>
      <c r="L7">
        <v>4.7050561797752799</v>
      </c>
      <c r="T7">
        <v>0.159663865546218</v>
      </c>
    </row>
    <row r="8" spans="1:20" x14ac:dyDescent="0.3">
      <c r="A8" s="19">
        <v>0.23012552301255201</v>
      </c>
      <c r="B8" s="21">
        <v>9.4311377245508901</v>
      </c>
      <c r="C8">
        <f t="shared" si="0"/>
        <v>2.1703455014656834</v>
      </c>
      <c r="E8" s="19"/>
      <c r="L8">
        <v>6.0744382022471903</v>
      </c>
      <c r="T8">
        <v>0.23004201680672201</v>
      </c>
    </row>
    <row r="9" spans="1:20" x14ac:dyDescent="0.3">
      <c r="A9" s="19">
        <v>0.330543933054393</v>
      </c>
      <c r="B9" s="21">
        <v>6.9161676646706498</v>
      </c>
      <c r="C9">
        <f t="shared" si="0"/>
        <v>2.2860972615438531</v>
      </c>
      <c r="E9" s="19"/>
      <c r="L9">
        <v>7.3384831460674098</v>
      </c>
      <c r="T9">
        <v>0.33298319327731002</v>
      </c>
    </row>
    <row r="10" spans="1:20" s="2" customFormat="1" x14ac:dyDescent="0.3">
      <c r="A10" s="20">
        <v>0.44246861924686098</v>
      </c>
      <c r="B10" s="22">
        <v>1.88622754491017</v>
      </c>
      <c r="C10">
        <f t="shared" si="0"/>
        <v>0.83459649738179942</v>
      </c>
      <c r="E10" s="20"/>
      <c r="F10"/>
      <c r="L10" s="2">
        <v>9.4101123595505598</v>
      </c>
      <c r="T10" s="2">
        <v>0.442226890756302</v>
      </c>
    </row>
    <row r="11" spans="1:20" x14ac:dyDescent="0.3">
      <c r="A11" s="19">
        <v>6.8000000000000005E-2</v>
      </c>
      <c r="B11" s="21">
        <v>28.502994011976</v>
      </c>
      <c r="C11">
        <f t="shared" si="0"/>
        <v>1.9382035928143682</v>
      </c>
      <c r="E11" s="19"/>
      <c r="L11">
        <v>4.5270270270270201</v>
      </c>
      <c r="T11">
        <v>7.0378151260504201E-2</v>
      </c>
    </row>
    <row r="12" spans="1:20" x14ac:dyDescent="0.3">
      <c r="A12" s="19">
        <v>0.13100000000000001</v>
      </c>
      <c r="B12" s="21">
        <v>27.874251497005901</v>
      </c>
      <c r="C12">
        <f t="shared" si="0"/>
        <v>3.6515269461077731</v>
      </c>
      <c r="E12" s="19"/>
      <c r="L12">
        <v>4.9662162162162096</v>
      </c>
      <c r="T12">
        <v>0.125</v>
      </c>
    </row>
    <row r="13" spans="1:20" x14ac:dyDescent="0.3">
      <c r="A13" s="19">
        <v>0.189</v>
      </c>
      <c r="B13" s="21">
        <v>28.083832335329301</v>
      </c>
      <c r="C13">
        <f t="shared" si="0"/>
        <v>5.307844311377238</v>
      </c>
      <c r="E13" s="19"/>
      <c r="L13">
        <v>5.3378378378378297</v>
      </c>
      <c r="T13">
        <v>0.190126050420168</v>
      </c>
    </row>
    <row r="14" spans="1:20" x14ac:dyDescent="0.3">
      <c r="A14" s="19">
        <v>0.248</v>
      </c>
      <c r="B14" s="21">
        <v>28.712574850299301</v>
      </c>
      <c r="C14">
        <f t="shared" si="0"/>
        <v>7.1207185628742264</v>
      </c>
      <c r="E14" s="19"/>
      <c r="L14">
        <v>6.4864864864864797</v>
      </c>
      <c r="T14">
        <v>0.22584033613445301</v>
      </c>
    </row>
    <row r="15" spans="1:20" x14ac:dyDescent="0.3">
      <c r="A15" s="19">
        <v>0.32800000000000001</v>
      </c>
      <c r="B15" s="21">
        <v>18.652694610778401</v>
      </c>
      <c r="C15">
        <f t="shared" si="0"/>
        <v>6.1180838323353157</v>
      </c>
      <c r="E15" s="19"/>
      <c r="L15">
        <v>8.0067567567567508</v>
      </c>
      <c r="T15">
        <v>0.33088235294117602</v>
      </c>
    </row>
    <row r="16" spans="1:20" x14ac:dyDescent="0.3">
      <c r="A16" s="19">
        <v>0.39100000000000001</v>
      </c>
      <c r="B16" s="21">
        <v>9.4311377245508901</v>
      </c>
      <c r="C16">
        <f t="shared" si="0"/>
        <v>3.6875748502993981</v>
      </c>
      <c r="E16" s="19"/>
      <c r="L16">
        <v>10.1689189189189</v>
      </c>
      <c r="T16">
        <v>0.39705882352941102</v>
      </c>
    </row>
    <row r="17" spans="1:20" s="2" customFormat="1" x14ac:dyDescent="0.3">
      <c r="A17" s="20">
        <v>0.44800000000000001</v>
      </c>
      <c r="B17" s="22">
        <v>3.562874251497</v>
      </c>
      <c r="C17">
        <f t="shared" si="0"/>
        <v>1.596167664670656</v>
      </c>
      <c r="E17" s="20"/>
      <c r="F17"/>
      <c r="L17" s="2">
        <v>10.675675675675601</v>
      </c>
      <c r="T17" s="2">
        <v>0.44852941176470501</v>
      </c>
    </row>
    <row r="18" spans="1:20" x14ac:dyDescent="0.3">
      <c r="A18" s="19">
        <v>4.8780487804878002E-2</v>
      </c>
      <c r="B18" s="21">
        <v>47.994011976047801</v>
      </c>
      <c r="C18">
        <f t="shared" si="0"/>
        <v>2.3411713159047687</v>
      </c>
      <c r="E18" s="19"/>
      <c r="L18">
        <v>3.5860655737704898</v>
      </c>
      <c r="T18">
        <v>4.6218487394957902E-2</v>
      </c>
    </row>
    <row r="19" spans="1:20" x14ac:dyDescent="0.3">
      <c r="A19" s="19">
        <v>9.7560975609756101E-2</v>
      </c>
      <c r="B19" s="21">
        <v>47.155688622754397</v>
      </c>
      <c r="C19">
        <f t="shared" si="0"/>
        <v>4.6005549875857952</v>
      </c>
      <c r="E19" s="19"/>
      <c r="L19">
        <v>4.8838797814207604</v>
      </c>
      <c r="T19">
        <v>9.5588235294117599E-2</v>
      </c>
    </row>
    <row r="20" spans="1:20" x14ac:dyDescent="0.3">
      <c r="A20" s="19">
        <v>0.142276422764227</v>
      </c>
      <c r="B20" s="21">
        <v>45.059880239520901</v>
      </c>
      <c r="C20">
        <f t="shared" si="0"/>
        <v>6.4109585706635137</v>
      </c>
      <c r="E20" s="19"/>
      <c r="L20">
        <v>5.7377049180327804</v>
      </c>
      <c r="T20">
        <v>0.14285714285714199</v>
      </c>
    </row>
    <row r="21" spans="1:20" x14ac:dyDescent="0.3">
      <c r="A21" s="19">
        <v>0.18191056910569101</v>
      </c>
      <c r="B21" s="21">
        <v>46.526946107784397</v>
      </c>
      <c r="C21">
        <f t="shared" si="0"/>
        <v>8.4637432452168753</v>
      </c>
      <c r="E21" s="19"/>
      <c r="L21">
        <v>6.1816939890710296</v>
      </c>
      <c r="T21">
        <v>0.183823529411764</v>
      </c>
    </row>
    <row r="22" spans="1:20" x14ac:dyDescent="0.3">
      <c r="A22" s="19">
        <v>0.22662601626016199</v>
      </c>
      <c r="B22" s="21">
        <v>39.820359281437099</v>
      </c>
      <c r="C22">
        <f t="shared" si="0"/>
        <v>9.0243293900004566</v>
      </c>
      <c r="E22" s="19"/>
      <c r="L22">
        <v>6.6939890710382501</v>
      </c>
      <c r="T22">
        <v>0.22584033613445301</v>
      </c>
    </row>
    <row r="23" spans="1:20" x14ac:dyDescent="0.3">
      <c r="A23" s="19">
        <v>0.26727642276422697</v>
      </c>
      <c r="B23" s="21">
        <v>33.742514970059801</v>
      </c>
      <c r="C23">
        <f t="shared" si="0"/>
        <v>9.0185786962659602</v>
      </c>
      <c r="E23" s="19"/>
      <c r="L23">
        <v>7.5478142076502701</v>
      </c>
      <c r="T23">
        <v>0.26575630252100801</v>
      </c>
    </row>
    <row r="24" spans="1:20" x14ac:dyDescent="0.3">
      <c r="A24" s="19">
        <v>0.32317073170731703</v>
      </c>
      <c r="B24" s="21">
        <v>23.4730538922155</v>
      </c>
      <c r="C24">
        <f t="shared" si="0"/>
        <v>7.5858040017525692</v>
      </c>
      <c r="E24" s="19"/>
      <c r="L24">
        <v>8.3333333333333304</v>
      </c>
      <c r="T24">
        <v>0.32247899159663801</v>
      </c>
    </row>
    <row r="25" spans="1:20" x14ac:dyDescent="0.3">
      <c r="A25" s="19">
        <v>0.361788617886178</v>
      </c>
      <c r="B25" s="21">
        <v>18.023952095808301</v>
      </c>
      <c r="C25">
        <f t="shared" si="0"/>
        <v>6.5208607175891666</v>
      </c>
      <c r="E25" s="19"/>
      <c r="L25">
        <v>9.15300546448087</v>
      </c>
      <c r="T25">
        <v>0.36449579831932699</v>
      </c>
    </row>
    <row r="26" spans="1:20" s="2" customFormat="1" x14ac:dyDescent="0.3">
      <c r="A26" s="20">
        <v>0.401422764227642</v>
      </c>
      <c r="B26" s="22">
        <v>11.946107784431099</v>
      </c>
      <c r="C26">
        <f t="shared" si="0"/>
        <v>4.7954396085876843</v>
      </c>
      <c r="E26" s="20"/>
      <c r="F26"/>
      <c r="L26" s="2">
        <v>9.9726775956284097</v>
      </c>
      <c r="T26" s="2">
        <v>0.40336134453781503</v>
      </c>
    </row>
    <row r="27" spans="1:20" x14ac:dyDescent="0.3">
      <c r="A27" s="19">
        <v>4.9999999999999899E-2</v>
      </c>
      <c r="B27" s="21">
        <v>68.532934131736496</v>
      </c>
      <c r="C27">
        <f t="shared" si="0"/>
        <v>3.4266467065868178</v>
      </c>
      <c r="E27" s="19"/>
      <c r="L27">
        <v>3.7015503875968898</v>
      </c>
      <c r="T27">
        <v>4.6218487394957902E-2</v>
      </c>
    </row>
    <row r="28" spans="1:20" x14ac:dyDescent="0.3">
      <c r="A28" s="19">
        <v>5.6395348837209203E-2</v>
      </c>
      <c r="B28" s="21">
        <v>70.62874251497</v>
      </c>
      <c r="C28">
        <f t="shared" si="0"/>
        <v>3.9831325720651614</v>
      </c>
      <c r="E28" s="19"/>
      <c r="L28">
        <v>3.58527131782945</v>
      </c>
      <c r="T28">
        <v>5.2521008403361297E-2</v>
      </c>
    </row>
    <row r="29" spans="1:20" x14ac:dyDescent="0.3">
      <c r="A29" s="19">
        <v>8.95348837209302E-2</v>
      </c>
      <c r="B29" s="21">
        <v>68.323353293413106</v>
      </c>
      <c r="C29">
        <f t="shared" si="0"/>
        <v>6.1173234925497759</v>
      </c>
      <c r="E29" s="19"/>
      <c r="L29">
        <v>4.5736434108527098</v>
      </c>
      <c r="T29">
        <v>8.5084033613445395E-2</v>
      </c>
    </row>
    <row r="30" spans="1:20" x14ac:dyDescent="0.3">
      <c r="A30" s="19">
        <v>0.16279069767441801</v>
      </c>
      <c r="B30" s="21">
        <v>61.407185628742504</v>
      </c>
      <c r="C30">
        <f t="shared" si="0"/>
        <v>9.9965185907254863</v>
      </c>
      <c r="E30" s="19"/>
      <c r="L30">
        <v>5.9689922480620101</v>
      </c>
      <c r="T30">
        <v>0.159663865546218</v>
      </c>
    </row>
    <row r="31" spans="1:20" x14ac:dyDescent="0.3">
      <c r="A31" s="19">
        <v>0.23604651162790599</v>
      </c>
      <c r="B31" s="21">
        <v>47.994011976047801</v>
      </c>
      <c r="C31">
        <f t="shared" si="0"/>
        <v>11.328819105974027</v>
      </c>
      <c r="E31" s="19"/>
      <c r="L31">
        <v>7.03488372093023</v>
      </c>
      <c r="T31">
        <v>0.23739495798319299</v>
      </c>
    </row>
    <row r="32" spans="1:20" x14ac:dyDescent="0.3">
      <c r="A32" s="19">
        <v>0.30406976744185998</v>
      </c>
      <c r="B32" s="21">
        <v>34.371257485029901</v>
      </c>
      <c r="C32">
        <f t="shared" si="0"/>
        <v>10.451260270157331</v>
      </c>
      <c r="E32" s="19"/>
      <c r="L32">
        <v>8.7984496124031004</v>
      </c>
      <c r="T32">
        <v>0.30252100840336099</v>
      </c>
    </row>
    <row r="33" spans="1:20" x14ac:dyDescent="0.3">
      <c r="A33" s="19">
        <v>0.35116279069767398</v>
      </c>
      <c r="B33" s="21">
        <v>1.67664670658682</v>
      </c>
      <c r="C33">
        <f t="shared" si="0"/>
        <v>0.58877593649909188</v>
      </c>
      <c r="E33" s="19"/>
      <c r="L33">
        <v>10.232558139534801</v>
      </c>
      <c r="T33">
        <v>0.35084033613445298</v>
      </c>
    </row>
    <row r="34" spans="1:20" x14ac:dyDescent="0.3">
      <c r="A34" s="19"/>
    </row>
    <row r="38" spans="1:20" x14ac:dyDescent="0.3">
      <c r="A38" t="s">
        <v>127</v>
      </c>
      <c r="L38" t="s">
        <v>128</v>
      </c>
    </row>
    <row r="39" spans="1:20" x14ac:dyDescent="0.3">
      <c r="A39" t="s">
        <v>70</v>
      </c>
      <c r="L39" t="s">
        <v>70</v>
      </c>
    </row>
    <row r="40" spans="1:20" ht="15" thickBot="1" x14ac:dyDescent="0.35"/>
    <row r="41" spans="1:20" x14ac:dyDescent="0.3">
      <c r="A41" s="13" t="s">
        <v>71</v>
      </c>
      <c r="B41" s="13"/>
      <c r="L41" s="13" t="s">
        <v>71</v>
      </c>
      <c r="M41" s="13"/>
    </row>
    <row r="42" spans="1:20" x14ac:dyDescent="0.3">
      <c r="A42" s="10" t="s">
        <v>72</v>
      </c>
      <c r="B42" s="10">
        <v>0.96648170636654795</v>
      </c>
      <c r="L42" s="10" t="s">
        <v>72</v>
      </c>
      <c r="M42" s="10">
        <v>0.9717345302468311</v>
      </c>
    </row>
    <row r="43" spans="1:20" x14ac:dyDescent="0.3">
      <c r="A43" s="10" t="s">
        <v>73</v>
      </c>
      <c r="B43" s="10">
        <v>0.93408688874119417</v>
      </c>
      <c r="L43" s="10" t="s">
        <v>73</v>
      </c>
      <c r="M43" s="10">
        <v>0.94426799727402944</v>
      </c>
    </row>
    <row r="44" spans="1:20" x14ac:dyDescent="0.3">
      <c r="A44" s="10" t="s">
        <v>74</v>
      </c>
      <c r="B44" s="10">
        <v>0.9316456623982754</v>
      </c>
      <c r="L44" s="10" t="s">
        <v>74</v>
      </c>
      <c r="M44" s="10">
        <v>0.93998092014126244</v>
      </c>
    </row>
    <row r="45" spans="1:20" x14ac:dyDescent="0.3">
      <c r="A45" s="10" t="s">
        <v>69</v>
      </c>
      <c r="B45" s="10">
        <v>0.592021647834444</v>
      </c>
      <c r="L45" s="10" t="s">
        <v>69</v>
      </c>
      <c r="M45" s="10">
        <v>0.55475243145298914</v>
      </c>
    </row>
    <row r="46" spans="1:20" ht="15" thickBot="1" x14ac:dyDescent="0.35">
      <c r="A46" s="11" t="s">
        <v>75</v>
      </c>
      <c r="B46" s="11">
        <v>29</v>
      </c>
      <c r="L46" s="11" t="s">
        <v>75</v>
      </c>
      <c r="M46" s="11">
        <v>29</v>
      </c>
    </row>
    <row r="48" spans="1:20" ht="15" thickBot="1" x14ac:dyDescent="0.35">
      <c r="A48" t="s">
        <v>76</v>
      </c>
      <c r="L48" t="s">
        <v>76</v>
      </c>
    </row>
    <row r="49" spans="1:20" x14ac:dyDescent="0.3">
      <c r="A49" s="12"/>
      <c r="B49" s="12" t="s">
        <v>81</v>
      </c>
      <c r="C49" s="12" t="s">
        <v>82</v>
      </c>
      <c r="D49" s="12" t="s">
        <v>83</v>
      </c>
      <c r="E49" s="12" t="s">
        <v>84</v>
      </c>
      <c r="F49" s="12" t="s">
        <v>85</v>
      </c>
      <c r="L49" s="12"/>
      <c r="M49" s="12" t="s">
        <v>81</v>
      </c>
      <c r="N49" s="12" t="s">
        <v>82</v>
      </c>
      <c r="O49" s="12" t="s">
        <v>83</v>
      </c>
      <c r="P49" s="12" t="s">
        <v>84</v>
      </c>
      <c r="Q49" s="12" t="s">
        <v>85</v>
      </c>
    </row>
    <row r="50" spans="1:20" x14ac:dyDescent="0.3">
      <c r="A50" s="10" t="s">
        <v>77</v>
      </c>
      <c r="B50" s="10">
        <v>1</v>
      </c>
      <c r="C50" s="10">
        <v>134.10791276189639</v>
      </c>
      <c r="D50" s="10">
        <v>134.10791276189639</v>
      </c>
      <c r="E50" s="10">
        <v>382.63018562399981</v>
      </c>
      <c r="F50" s="10">
        <v>1.7869516323468365E-17</v>
      </c>
      <c r="L50" s="10" t="s">
        <v>77</v>
      </c>
      <c r="M50" s="10">
        <v>2</v>
      </c>
      <c r="N50" s="10">
        <v>135.56962604724276</v>
      </c>
      <c r="O50" s="10">
        <v>67.784813023621382</v>
      </c>
      <c r="P50" s="10">
        <v>220.25915747043729</v>
      </c>
      <c r="Q50" s="10">
        <v>5.0044971453296999E-17</v>
      </c>
    </row>
    <row r="51" spans="1:20" x14ac:dyDescent="0.3">
      <c r="A51" s="10" t="s">
        <v>78</v>
      </c>
      <c r="B51" s="10">
        <v>27</v>
      </c>
      <c r="C51" s="10">
        <v>9.4632200506244821</v>
      </c>
      <c r="D51" s="10">
        <v>0.35048963150461043</v>
      </c>
      <c r="E51" s="10"/>
      <c r="F51" s="10"/>
      <c r="L51" s="10" t="s">
        <v>78</v>
      </c>
      <c r="M51" s="10">
        <v>26</v>
      </c>
      <c r="N51" s="10">
        <v>8.0015067652780889</v>
      </c>
      <c r="O51" s="10">
        <v>0.30775026020300345</v>
      </c>
      <c r="P51" s="10"/>
      <c r="Q51" s="10"/>
    </row>
    <row r="52" spans="1:20" ht="15" thickBot="1" x14ac:dyDescent="0.35">
      <c r="A52" s="11" t="s">
        <v>79</v>
      </c>
      <c r="B52" s="11">
        <v>28</v>
      </c>
      <c r="C52" s="11">
        <v>143.57113281252086</v>
      </c>
      <c r="D52" s="11"/>
      <c r="E52" s="11"/>
      <c r="F52" s="11"/>
      <c r="L52" s="11" t="s">
        <v>79</v>
      </c>
      <c r="M52" s="11">
        <v>28</v>
      </c>
      <c r="N52" s="11">
        <v>143.57113281252086</v>
      </c>
      <c r="O52" s="11"/>
      <c r="P52" s="11"/>
      <c r="Q52" s="11"/>
    </row>
    <row r="53" spans="1:20" ht="15" thickBot="1" x14ac:dyDescent="0.35"/>
    <row r="54" spans="1:20" x14ac:dyDescent="0.3">
      <c r="A54" s="12"/>
      <c r="B54" s="12" t="s">
        <v>86</v>
      </c>
      <c r="C54" s="12" t="s">
        <v>69</v>
      </c>
      <c r="D54" s="12" t="s">
        <v>87</v>
      </c>
      <c r="E54" s="12" t="s">
        <v>88</v>
      </c>
      <c r="F54" s="12" t="s">
        <v>89</v>
      </c>
      <c r="G54" s="12" t="s">
        <v>90</v>
      </c>
      <c r="H54" s="12" t="s">
        <v>91</v>
      </c>
      <c r="I54" s="12" t="s">
        <v>92</v>
      </c>
      <c r="L54" s="12"/>
      <c r="M54" s="12" t="s">
        <v>86</v>
      </c>
      <c r="N54" s="12" t="s">
        <v>69</v>
      </c>
      <c r="O54" s="12" t="s">
        <v>87</v>
      </c>
      <c r="P54" s="12" t="s">
        <v>88</v>
      </c>
      <c r="Q54" s="12" t="s">
        <v>89</v>
      </c>
      <c r="R54" s="12" t="s">
        <v>90</v>
      </c>
      <c r="S54" s="12" t="s">
        <v>91</v>
      </c>
      <c r="T54" s="12" t="s">
        <v>92</v>
      </c>
    </row>
    <row r="55" spans="1:20" x14ac:dyDescent="0.3">
      <c r="A55" s="10" t="s">
        <v>80</v>
      </c>
      <c r="B55" s="10">
        <v>2.7197950153892587</v>
      </c>
      <c r="C55" s="10">
        <v>0.22658644475889736</v>
      </c>
      <c r="D55" s="10">
        <v>12.003343881772349</v>
      </c>
      <c r="E55" s="10">
        <v>2.4659365316351581E-12</v>
      </c>
      <c r="F55" s="10">
        <v>2.2548780334121785</v>
      </c>
      <c r="G55" s="10">
        <v>3.1847119973663389</v>
      </c>
      <c r="H55" s="10">
        <v>2.2548780334121785</v>
      </c>
      <c r="I55" s="10">
        <v>3.1847119973663389</v>
      </c>
      <c r="L55" s="10" t="s">
        <v>80</v>
      </c>
      <c r="M55" s="10">
        <v>1.9675417319861013</v>
      </c>
      <c r="N55" s="10">
        <v>0.40524390035863606</v>
      </c>
      <c r="O55" s="10">
        <v>4.8552038173673928</v>
      </c>
      <c r="P55" s="10">
        <v>4.9248018835958211E-5</v>
      </c>
      <c r="Q55" s="10">
        <v>1.1345509649684657</v>
      </c>
      <c r="R55" s="10">
        <v>2.8005324990037366</v>
      </c>
      <c r="S55" s="10">
        <v>1.1345509649684657</v>
      </c>
      <c r="T55" s="10">
        <v>2.8005324990037366</v>
      </c>
    </row>
    <row r="56" spans="1:20" ht="15" thickBot="1" x14ac:dyDescent="0.35">
      <c r="A56" s="11" t="s">
        <v>49</v>
      </c>
      <c r="B56" s="11">
        <v>17.408163693354908</v>
      </c>
      <c r="C56" s="11">
        <v>0.88994536925829093</v>
      </c>
      <c r="D56" s="11">
        <v>19.560935192980924</v>
      </c>
      <c r="E56" s="11">
        <v>1.7869516323468495E-17</v>
      </c>
      <c r="F56" s="11">
        <v>15.582146626710429</v>
      </c>
      <c r="G56" s="11">
        <v>19.234180759999386</v>
      </c>
      <c r="H56" s="11">
        <v>15.582146626710429</v>
      </c>
      <c r="I56" s="11">
        <v>19.234180759999386</v>
      </c>
      <c r="L56" s="10" t="s">
        <v>49</v>
      </c>
      <c r="M56" s="10">
        <v>18.932886091397897</v>
      </c>
      <c r="N56" s="10">
        <v>1.088524277740228</v>
      </c>
      <c r="O56" s="10">
        <v>17.393168419451786</v>
      </c>
      <c r="P56" s="10">
        <v>7.6942938970022662E-16</v>
      </c>
      <c r="Q56" s="10">
        <v>16.695392393825387</v>
      </c>
      <c r="R56" s="10">
        <v>21.170379788970408</v>
      </c>
      <c r="S56" s="10">
        <v>16.695392393825387</v>
      </c>
      <c r="T56" s="10">
        <v>21.170379788970408</v>
      </c>
    </row>
    <row r="57" spans="1:20" ht="15" thickBot="1" x14ac:dyDescent="0.35">
      <c r="L57" s="11" t="s">
        <v>138</v>
      </c>
      <c r="M57" s="11">
        <v>1.3962340917781405E-2</v>
      </c>
      <c r="N57" s="11">
        <v>6.4065814988863217E-3</v>
      </c>
      <c r="O57" s="11">
        <v>2.1793745884928688</v>
      </c>
      <c r="P57" s="11">
        <v>3.8553011547614334E-2</v>
      </c>
      <c r="Q57" s="11">
        <v>7.9342404575578722E-4</v>
      </c>
      <c r="R57" s="11">
        <v>2.7131257789807024E-2</v>
      </c>
      <c r="S57" s="11">
        <v>7.9342404575578722E-4</v>
      </c>
      <c r="T57" s="11">
        <v>2.7131257789807024E-2</v>
      </c>
    </row>
    <row r="60" spans="1:20" x14ac:dyDescent="0.3">
      <c r="A60" t="s">
        <v>123</v>
      </c>
      <c r="I60">
        <f>((C51-N51)/(M50-B50))/(N51/(B52+1-(M50+1)))</f>
        <v>4.7496735969685062</v>
      </c>
      <c r="K60" t="s">
        <v>292</v>
      </c>
    </row>
    <row r="61" spans="1:20" x14ac:dyDescent="0.3">
      <c r="A61" t="s">
        <v>124</v>
      </c>
      <c r="I61">
        <f>_xlfn.F.DIST.RT(I60,B51-M51,M51)</f>
        <v>3.8553011547613501E-2</v>
      </c>
    </row>
    <row r="62" spans="1:20" x14ac:dyDescent="0.3">
      <c r="A62" t="s">
        <v>310</v>
      </c>
    </row>
    <row r="63" spans="1:20" x14ac:dyDescent="0.3">
      <c r="A63" t="s">
        <v>315</v>
      </c>
    </row>
    <row r="66" spans="1:17" x14ac:dyDescent="0.3">
      <c r="A66" t="s">
        <v>127</v>
      </c>
      <c r="L66" t="s">
        <v>146</v>
      </c>
    </row>
    <row r="67" spans="1:17" x14ac:dyDescent="0.3">
      <c r="A67" t="s">
        <v>70</v>
      </c>
      <c r="L67" t="s">
        <v>70</v>
      </c>
    </row>
    <row r="68" spans="1:17" ht="15" thickBot="1" x14ac:dyDescent="0.35"/>
    <row r="69" spans="1:17" x14ac:dyDescent="0.3">
      <c r="A69" s="13" t="s">
        <v>71</v>
      </c>
      <c r="B69" s="13"/>
      <c r="L69" s="13" t="s">
        <v>71</v>
      </c>
      <c r="M69" s="13"/>
    </row>
    <row r="70" spans="1:17" x14ac:dyDescent="0.3">
      <c r="A70" s="10" t="s">
        <v>72</v>
      </c>
      <c r="B70" s="10">
        <v>0.96648170636654795</v>
      </c>
      <c r="L70" s="10" t="s">
        <v>72</v>
      </c>
      <c r="M70" s="10">
        <v>0.97175795157287848</v>
      </c>
    </row>
    <row r="71" spans="1:17" x14ac:dyDescent="0.3">
      <c r="A71" s="10" t="s">
        <v>73</v>
      </c>
      <c r="B71" s="10">
        <v>0.93408688874119417</v>
      </c>
      <c r="L71" s="10" t="s">
        <v>73</v>
      </c>
      <c r="M71" s="10">
        <v>0.94431351644511674</v>
      </c>
    </row>
    <row r="72" spans="1:17" x14ac:dyDescent="0.3">
      <c r="A72" s="10" t="s">
        <v>74</v>
      </c>
      <c r="B72" s="10">
        <v>0.9316456623982754</v>
      </c>
      <c r="L72" s="10" t="s">
        <v>74</v>
      </c>
      <c r="M72" s="10">
        <v>0.93763113841853074</v>
      </c>
    </row>
    <row r="73" spans="1:17" x14ac:dyDescent="0.3">
      <c r="A73" s="10" t="s">
        <v>69</v>
      </c>
      <c r="B73" s="10">
        <v>0.592021647834444</v>
      </c>
      <c r="L73" s="10" t="s">
        <v>69</v>
      </c>
      <c r="M73" s="10">
        <v>0.56550761361171409</v>
      </c>
    </row>
    <row r="74" spans="1:17" ht="15" thickBot="1" x14ac:dyDescent="0.35">
      <c r="A74" s="11" t="s">
        <v>75</v>
      </c>
      <c r="B74" s="11">
        <v>29</v>
      </c>
      <c r="L74" s="11" t="s">
        <v>75</v>
      </c>
      <c r="M74" s="11">
        <v>29</v>
      </c>
    </row>
    <row r="76" spans="1:17" ht="15" thickBot="1" x14ac:dyDescent="0.35">
      <c r="A76" t="s">
        <v>76</v>
      </c>
      <c r="L76" t="s">
        <v>76</v>
      </c>
    </row>
    <row r="77" spans="1:17" x14ac:dyDescent="0.3">
      <c r="A77" s="12"/>
      <c r="B77" s="12" t="s">
        <v>81</v>
      </c>
      <c r="C77" s="12" t="s">
        <v>82</v>
      </c>
      <c r="D77" s="12" t="s">
        <v>83</v>
      </c>
      <c r="E77" s="12" t="s">
        <v>84</v>
      </c>
      <c r="F77" s="12" t="s">
        <v>85</v>
      </c>
      <c r="L77" s="12"/>
      <c r="M77" s="12" t="s">
        <v>81</v>
      </c>
      <c r="N77" s="12" t="s">
        <v>82</v>
      </c>
      <c r="O77" s="12" t="s">
        <v>83</v>
      </c>
      <c r="P77" s="12" t="s">
        <v>84</v>
      </c>
      <c r="Q77" s="12" t="s">
        <v>85</v>
      </c>
    </row>
    <row r="78" spans="1:17" x14ac:dyDescent="0.3">
      <c r="A78" s="10" t="s">
        <v>77</v>
      </c>
      <c r="B78" s="10">
        <v>1</v>
      </c>
      <c r="C78" s="10">
        <v>134.10791276189639</v>
      </c>
      <c r="D78" s="10">
        <v>134.10791276189639</v>
      </c>
      <c r="E78" s="10">
        <v>382.63018562399981</v>
      </c>
      <c r="F78" s="10">
        <v>1.7869516323468365E-17</v>
      </c>
      <c r="L78" s="10" t="s">
        <v>77</v>
      </c>
      <c r="M78" s="10">
        <v>3</v>
      </c>
      <c r="N78" s="10">
        <v>135.57616128620046</v>
      </c>
      <c r="O78" s="10">
        <v>45.19205376206682</v>
      </c>
      <c r="P78" s="10">
        <v>141.31399221776223</v>
      </c>
      <c r="Q78" s="10">
        <v>8.3941695352882302E-16</v>
      </c>
    </row>
    <row r="79" spans="1:17" x14ac:dyDescent="0.3">
      <c r="A79" s="10" t="s">
        <v>78</v>
      </c>
      <c r="B79" s="10">
        <v>27</v>
      </c>
      <c r="C79" s="10">
        <v>9.4632200506244821</v>
      </c>
      <c r="D79" s="10">
        <v>0.35048963150461043</v>
      </c>
      <c r="E79" s="10"/>
      <c r="F79" s="10"/>
      <c r="L79" s="10" t="s">
        <v>78</v>
      </c>
      <c r="M79" s="10">
        <v>25</v>
      </c>
      <c r="N79" s="10">
        <v>7.9949715263203922</v>
      </c>
      <c r="O79" s="10">
        <v>0.31979886105281569</v>
      </c>
      <c r="P79" s="10"/>
      <c r="Q79" s="10"/>
    </row>
    <row r="80" spans="1:17" ht="15" thickBot="1" x14ac:dyDescent="0.35">
      <c r="A80" s="11" t="s">
        <v>79</v>
      </c>
      <c r="B80" s="11">
        <v>28</v>
      </c>
      <c r="C80" s="11">
        <v>143.57113281252086</v>
      </c>
      <c r="D80" s="11"/>
      <c r="E80" s="11"/>
      <c r="F80" s="11"/>
      <c r="L80" s="11" t="s">
        <v>79</v>
      </c>
      <c r="M80" s="11">
        <v>28</v>
      </c>
      <c r="N80" s="11">
        <v>143.57113281252086</v>
      </c>
      <c r="O80" s="11"/>
      <c r="P80" s="11"/>
      <c r="Q80" s="11"/>
    </row>
    <row r="81" spans="1:20" ht="15" thickBot="1" x14ac:dyDescent="0.35"/>
    <row r="82" spans="1:20" x14ac:dyDescent="0.3">
      <c r="A82" s="12"/>
      <c r="B82" s="12" t="s">
        <v>86</v>
      </c>
      <c r="C82" s="12" t="s">
        <v>69</v>
      </c>
      <c r="D82" s="12" t="s">
        <v>87</v>
      </c>
      <c r="E82" s="12" t="s">
        <v>88</v>
      </c>
      <c r="F82" s="12" t="s">
        <v>89</v>
      </c>
      <c r="G82" s="12" t="s">
        <v>90</v>
      </c>
      <c r="H82" s="12" t="s">
        <v>91</v>
      </c>
      <c r="I82" s="12" t="s">
        <v>92</v>
      </c>
      <c r="L82" s="12"/>
      <c r="M82" s="12" t="s">
        <v>86</v>
      </c>
      <c r="N82" s="12" t="s">
        <v>69</v>
      </c>
      <c r="O82" s="12" t="s">
        <v>87</v>
      </c>
      <c r="P82" s="12" t="s">
        <v>88</v>
      </c>
      <c r="Q82" s="12" t="s">
        <v>89</v>
      </c>
      <c r="R82" s="12" t="s">
        <v>90</v>
      </c>
      <c r="S82" s="12" t="s">
        <v>91</v>
      </c>
      <c r="T82" s="12" t="s">
        <v>92</v>
      </c>
    </row>
    <row r="83" spans="1:20" x14ac:dyDescent="0.3">
      <c r="A83" s="10" t="s">
        <v>80</v>
      </c>
      <c r="B83" s="10">
        <v>2.7197950153892587</v>
      </c>
      <c r="C83" s="10">
        <v>0.22658644475889736</v>
      </c>
      <c r="D83" s="10">
        <v>12.003343881772349</v>
      </c>
      <c r="E83" s="10">
        <v>2.4659365316351581E-12</v>
      </c>
      <c r="F83" s="10">
        <v>2.2548780334121785</v>
      </c>
      <c r="G83" s="10">
        <v>3.1847119973663389</v>
      </c>
      <c r="H83" s="10">
        <v>2.2548780334121785</v>
      </c>
      <c r="I83" s="10">
        <v>3.1847119973663389</v>
      </c>
      <c r="L83" s="10" t="s">
        <v>80</v>
      </c>
      <c r="M83" s="10">
        <v>1.9891477849303323</v>
      </c>
      <c r="N83" s="10">
        <v>0.43988148659958054</v>
      </c>
      <c r="O83" s="10">
        <v>4.5220084171012918</v>
      </c>
      <c r="P83" s="10">
        <v>1.2863799472353168E-4</v>
      </c>
      <c r="Q83" s="10">
        <v>1.0831949046360632</v>
      </c>
      <c r="R83" s="10">
        <v>2.8951006652246014</v>
      </c>
      <c r="S83" s="10">
        <v>1.0831949046360632</v>
      </c>
      <c r="T83" s="10">
        <v>2.8951006652246014</v>
      </c>
    </row>
    <row r="84" spans="1:20" ht="15" thickBot="1" x14ac:dyDescent="0.35">
      <c r="A84" s="11" t="s">
        <v>49</v>
      </c>
      <c r="B84" s="11">
        <v>17.408163693354908</v>
      </c>
      <c r="C84" s="11">
        <v>0.88994536925829093</v>
      </c>
      <c r="D84" s="11">
        <v>19.560935192980924</v>
      </c>
      <c r="E84" s="11">
        <v>1.7869516323468495E-17</v>
      </c>
      <c r="F84" s="11">
        <v>15.582146626710429</v>
      </c>
      <c r="G84" s="11">
        <v>19.234180759999386</v>
      </c>
      <c r="H84" s="11">
        <v>15.582146626710429</v>
      </c>
      <c r="I84" s="11">
        <v>19.234180759999386</v>
      </c>
      <c r="L84" s="10" t="s">
        <v>49</v>
      </c>
      <c r="M84" s="10">
        <v>18.814456494456092</v>
      </c>
      <c r="N84" s="10">
        <v>1.3847774982361594</v>
      </c>
      <c r="O84" s="10">
        <v>13.586627828962225</v>
      </c>
      <c r="P84" s="10">
        <v>4.7973966152979099E-13</v>
      </c>
      <c r="Q84" s="10">
        <v>15.96245384985346</v>
      </c>
      <c r="R84" s="10">
        <v>21.666459139058723</v>
      </c>
      <c r="S84" s="10">
        <v>15.96245384985346</v>
      </c>
      <c r="T84" s="10">
        <v>21.666459139058723</v>
      </c>
    </row>
    <row r="85" spans="1:20" x14ac:dyDescent="0.3">
      <c r="L85" s="10" t="s">
        <v>138</v>
      </c>
      <c r="M85" s="10">
        <v>1.2974802914746659E-2</v>
      </c>
      <c r="N85" s="10">
        <v>9.5065073435284999E-3</v>
      </c>
      <c r="O85" s="10">
        <v>1.3648338391679864</v>
      </c>
      <c r="P85" s="10">
        <v>0.18446406063353926</v>
      </c>
      <c r="Q85" s="10">
        <v>-6.604215461282625E-3</v>
      </c>
      <c r="R85" s="10">
        <v>3.2553821290775942E-2</v>
      </c>
      <c r="S85" s="10">
        <v>-6.604215461282625E-3</v>
      </c>
      <c r="T85" s="10">
        <v>3.2553821290775942E-2</v>
      </c>
    </row>
    <row r="86" spans="1:20" ht="15" thickBot="1" x14ac:dyDescent="0.35">
      <c r="L86" s="11" t="s">
        <v>155</v>
      </c>
      <c r="M86" s="11">
        <v>6.9077733527228213E-3</v>
      </c>
      <c r="N86" s="11">
        <v>4.8322100037081844E-2</v>
      </c>
      <c r="O86" s="11">
        <v>0.14295267274025492</v>
      </c>
      <c r="P86" s="11">
        <v>0.88747351039200939</v>
      </c>
      <c r="Q86" s="11">
        <v>-9.2613454623648797E-2</v>
      </c>
      <c r="R86" s="11">
        <v>0.10642900132909443</v>
      </c>
      <c r="S86" s="11">
        <v>-9.2613454623648797E-2</v>
      </c>
      <c r="T86" s="11">
        <v>0.10642900132909443</v>
      </c>
    </row>
    <row r="89" spans="1:20" x14ac:dyDescent="0.3">
      <c r="A89" t="s">
        <v>123</v>
      </c>
      <c r="I89">
        <f>((C79-N79)/(M78-B78))/(N79/(B80+1-(M78+1)))</f>
        <v>2.295581227948158</v>
      </c>
      <c r="K89" t="s">
        <v>292</v>
      </c>
    </row>
    <row r="90" spans="1:20" x14ac:dyDescent="0.3">
      <c r="A90" t="s">
        <v>124</v>
      </c>
      <c r="I90">
        <f>_xlfn.F.DIST.RT(I89,B79-M79,M79)</f>
        <v>0.12154155265145949</v>
      </c>
    </row>
    <row r="91" spans="1:20" x14ac:dyDescent="0.3">
      <c r="A91" t="s">
        <v>125</v>
      </c>
    </row>
    <row r="92" spans="1:20" x14ac:dyDescent="0.3">
      <c r="A92" t="s">
        <v>312</v>
      </c>
    </row>
    <row r="98" spans="1:17" x14ac:dyDescent="0.3">
      <c r="A98" t="s">
        <v>148</v>
      </c>
      <c r="L98" t="s">
        <v>146</v>
      </c>
    </row>
    <row r="99" spans="1:17" x14ac:dyDescent="0.3">
      <c r="A99" t="s">
        <v>70</v>
      </c>
      <c r="L99" t="s">
        <v>70</v>
      </c>
    </row>
    <row r="100" spans="1:17" ht="15" thickBot="1" x14ac:dyDescent="0.35"/>
    <row r="101" spans="1:17" x14ac:dyDescent="0.3">
      <c r="A101" s="13" t="s">
        <v>71</v>
      </c>
      <c r="B101" s="13"/>
      <c r="L101" s="13" t="s">
        <v>71</v>
      </c>
      <c r="M101" s="13"/>
    </row>
    <row r="102" spans="1:17" x14ac:dyDescent="0.3">
      <c r="A102" s="10" t="s">
        <v>72</v>
      </c>
      <c r="B102" s="10">
        <v>0.9717345302468311</v>
      </c>
      <c r="L102" s="10" t="s">
        <v>72</v>
      </c>
      <c r="M102" s="10">
        <v>0.97175795157287848</v>
      </c>
    </row>
    <row r="103" spans="1:17" x14ac:dyDescent="0.3">
      <c r="A103" s="10" t="s">
        <v>73</v>
      </c>
      <c r="B103" s="10">
        <v>0.94426799727402944</v>
      </c>
      <c r="L103" s="10" t="s">
        <v>73</v>
      </c>
      <c r="M103" s="10">
        <v>0.94431351644511674</v>
      </c>
    </row>
    <row r="104" spans="1:17" x14ac:dyDescent="0.3">
      <c r="A104" s="10" t="s">
        <v>74</v>
      </c>
      <c r="B104" s="10">
        <v>0.93998092014126244</v>
      </c>
      <c r="L104" s="10" t="s">
        <v>74</v>
      </c>
      <c r="M104" s="10">
        <v>0.93763113841853074</v>
      </c>
    </row>
    <row r="105" spans="1:17" x14ac:dyDescent="0.3">
      <c r="A105" s="10" t="s">
        <v>69</v>
      </c>
      <c r="B105" s="10">
        <v>0.55475243145298914</v>
      </c>
      <c r="L105" s="10" t="s">
        <v>69</v>
      </c>
      <c r="M105" s="10">
        <v>0.56550761361171409</v>
      </c>
    </row>
    <row r="106" spans="1:17" ht="15" thickBot="1" x14ac:dyDescent="0.35">
      <c r="A106" s="11" t="s">
        <v>75</v>
      </c>
      <c r="B106" s="11">
        <v>29</v>
      </c>
      <c r="L106" s="11" t="s">
        <v>75</v>
      </c>
      <c r="M106" s="11">
        <v>29</v>
      </c>
    </row>
    <row r="108" spans="1:17" ht="15" thickBot="1" x14ac:dyDescent="0.35">
      <c r="A108" t="s">
        <v>76</v>
      </c>
      <c r="L108" t="s">
        <v>76</v>
      </c>
    </row>
    <row r="109" spans="1:17" x14ac:dyDescent="0.3">
      <c r="A109" s="12"/>
      <c r="B109" s="12" t="s">
        <v>81</v>
      </c>
      <c r="C109" s="12" t="s">
        <v>82</v>
      </c>
      <c r="D109" s="12" t="s">
        <v>83</v>
      </c>
      <c r="E109" s="12" t="s">
        <v>84</v>
      </c>
      <c r="F109" s="12" t="s">
        <v>85</v>
      </c>
      <c r="L109" s="12"/>
      <c r="M109" s="12" t="s">
        <v>81</v>
      </c>
      <c r="N109" s="12" t="s">
        <v>82</v>
      </c>
      <c r="O109" s="12" t="s">
        <v>83</v>
      </c>
      <c r="P109" s="12" t="s">
        <v>84</v>
      </c>
      <c r="Q109" s="12" t="s">
        <v>85</v>
      </c>
    </row>
    <row r="110" spans="1:17" x14ac:dyDescent="0.3">
      <c r="A110" s="10" t="s">
        <v>77</v>
      </c>
      <c r="B110" s="10">
        <v>2</v>
      </c>
      <c r="C110" s="10">
        <v>135.56962604724276</v>
      </c>
      <c r="D110" s="10">
        <v>67.784813023621382</v>
      </c>
      <c r="E110" s="10">
        <v>220.25915747043729</v>
      </c>
      <c r="F110" s="10">
        <v>5.0044971453296999E-17</v>
      </c>
      <c r="L110" s="10" t="s">
        <v>77</v>
      </c>
      <c r="M110" s="10">
        <v>3</v>
      </c>
      <c r="N110" s="10">
        <v>135.57616128620046</v>
      </c>
      <c r="O110" s="10">
        <v>45.19205376206682</v>
      </c>
      <c r="P110" s="10">
        <v>141.31399221776223</v>
      </c>
      <c r="Q110" s="10">
        <v>8.3941695352882302E-16</v>
      </c>
    </row>
    <row r="111" spans="1:17" x14ac:dyDescent="0.3">
      <c r="A111" s="10" t="s">
        <v>78</v>
      </c>
      <c r="B111" s="10">
        <v>26</v>
      </c>
      <c r="C111" s="10">
        <v>8.0015067652780889</v>
      </c>
      <c r="D111" s="10">
        <v>0.30775026020300345</v>
      </c>
      <c r="E111" s="10"/>
      <c r="F111" s="10"/>
      <c r="L111" s="10" t="s">
        <v>78</v>
      </c>
      <c r="M111" s="10">
        <v>25</v>
      </c>
      <c r="N111" s="10">
        <v>7.9949715263203922</v>
      </c>
      <c r="O111" s="10">
        <v>0.31979886105281569</v>
      </c>
      <c r="P111" s="10"/>
      <c r="Q111" s="10"/>
    </row>
    <row r="112" spans="1:17" ht="15" thickBot="1" x14ac:dyDescent="0.35">
      <c r="A112" s="11" t="s">
        <v>79</v>
      </c>
      <c r="B112" s="11">
        <v>28</v>
      </c>
      <c r="C112" s="11">
        <v>143.57113281252086</v>
      </c>
      <c r="D112" s="11"/>
      <c r="E112" s="11"/>
      <c r="F112" s="11"/>
      <c r="L112" s="11" t="s">
        <v>79</v>
      </c>
      <c r="M112" s="11">
        <v>28</v>
      </c>
      <c r="N112" s="11">
        <v>143.57113281252086</v>
      </c>
      <c r="O112" s="11"/>
      <c r="P112" s="11"/>
      <c r="Q112" s="11"/>
    </row>
    <row r="113" spans="1:20" ht="15" thickBot="1" x14ac:dyDescent="0.35"/>
    <row r="114" spans="1:20" x14ac:dyDescent="0.3">
      <c r="A114" s="12"/>
      <c r="B114" s="12" t="s">
        <v>86</v>
      </c>
      <c r="C114" s="12" t="s">
        <v>69</v>
      </c>
      <c r="D114" s="12" t="s">
        <v>87</v>
      </c>
      <c r="E114" s="12" t="s">
        <v>88</v>
      </c>
      <c r="F114" s="12" t="s">
        <v>89</v>
      </c>
      <c r="G114" s="12" t="s">
        <v>90</v>
      </c>
      <c r="H114" s="12" t="s">
        <v>91</v>
      </c>
      <c r="I114" s="12" t="s">
        <v>92</v>
      </c>
      <c r="L114" s="12"/>
      <c r="M114" s="12" t="s">
        <v>86</v>
      </c>
      <c r="N114" s="12" t="s">
        <v>69</v>
      </c>
      <c r="O114" s="12" t="s">
        <v>87</v>
      </c>
      <c r="P114" s="12" t="s">
        <v>88</v>
      </c>
      <c r="Q114" s="12" t="s">
        <v>89</v>
      </c>
      <c r="R114" s="12" t="s">
        <v>90</v>
      </c>
      <c r="S114" s="12" t="s">
        <v>91</v>
      </c>
      <c r="T114" s="12" t="s">
        <v>92</v>
      </c>
    </row>
    <row r="115" spans="1:20" x14ac:dyDescent="0.3">
      <c r="A115" s="10" t="s">
        <v>80</v>
      </c>
      <c r="B115" s="10">
        <v>1.9675417319861013</v>
      </c>
      <c r="C115" s="10">
        <v>0.40524390035863606</v>
      </c>
      <c r="D115" s="10">
        <v>4.8552038173673928</v>
      </c>
      <c r="E115" s="10">
        <v>4.9248018835958211E-5</v>
      </c>
      <c r="F115" s="10">
        <v>1.1345509649684657</v>
      </c>
      <c r="G115" s="10">
        <v>2.8005324990037366</v>
      </c>
      <c r="H115" s="10">
        <v>1.1345509649684657</v>
      </c>
      <c r="I115" s="10">
        <v>2.8005324990037366</v>
      </c>
      <c r="L115" s="10" t="s">
        <v>80</v>
      </c>
      <c r="M115" s="10">
        <v>1.9891477849303323</v>
      </c>
      <c r="N115" s="10">
        <v>0.43988148659958054</v>
      </c>
      <c r="O115" s="10">
        <v>4.5220084171012918</v>
      </c>
      <c r="P115" s="10">
        <v>1.2863799472353168E-4</v>
      </c>
      <c r="Q115" s="10">
        <v>1.0831949046360632</v>
      </c>
      <c r="R115" s="10">
        <v>2.8951006652246014</v>
      </c>
      <c r="S115" s="10">
        <v>1.0831949046360632</v>
      </c>
      <c r="T115" s="10">
        <v>2.8951006652246014</v>
      </c>
    </row>
    <row r="116" spans="1:20" x14ac:dyDescent="0.3">
      <c r="A116" s="10" t="s">
        <v>49</v>
      </c>
      <c r="B116" s="10">
        <v>18.932886091397897</v>
      </c>
      <c r="C116" s="10">
        <v>1.088524277740228</v>
      </c>
      <c r="D116" s="10">
        <v>17.393168419451786</v>
      </c>
      <c r="E116" s="10">
        <v>7.6942938970022662E-16</v>
      </c>
      <c r="F116" s="10">
        <v>16.695392393825387</v>
      </c>
      <c r="G116" s="10">
        <v>21.170379788970408</v>
      </c>
      <c r="H116" s="10">
        <v>16.695392393825387</v>
      </c>
      <c r="I116" s="10">
        <v>21.170379788970408</v>
      </c>
      <c r="L116" s="10" t="s">
        <v>49</v>
      </c>
      <c r="M116" s="10">
        <v>18.814456494456092</v>
      </c>
      <c r="N116" s="10">
        <v>1.3847774982361594</v>
      </c>
      <c r="O116" s="10">
        <v>13.586627828962225</v>
      </c>
      <c r="P116" s="10">
        <v>4.7973966152979099E-13</v>
      </c>
      <c r="Q116" s="10">
        <v>15.96245384985346</v>
      </c>
      <c r="R116" s="10">
        <v>21.666459139058723</v>
      </c>
      <c r="S116" s="10">
        <v>15.96245384985346</v>
      </c>
      <c r="T116" s="10">
        <v>21.666459139058723</v>
      </c>
    </row>
    <row r="117" spans="1:20" ht="15" thickBot="1" x14ac:dyDescent="0.35">
      <c r="A117" s="11" t="s">
        <v>138</v>
      </c>
      <c r="B117" s="11">
        <v>1.3962340917781405E-2</v>
      </c>
      <c r="C117" s="11">
        <v>6.4065814988863217E-3</v>
      </c>
      <c r="D117" s="11">
        <v>2.1793745884928688</v>
      </c>
      <c r="E117" s="11">
        <v>3.8553011547614334E-2</v>
      </c>
      <c r="F117" s="11">
        <v>7.9342404575578722E-4</v>
      </c>
      <c r="G117" s="11">
        <v>2.7131257789807024E-2</v>
      </c>
      <c r="H117" s="11">
        <v>7.9342404575578722E-4</v>
      </c>
      <c r="I117" s="11">
        <v>2.7131257789807024E-2</v>
      </c>
      <c r="L117" s="10" t="s">
        <v>138</v>
      </c>
      <c r="M117" s="10">
        <v>1.2974802914746659E-2</v>
      </c>
      <c r="N117" s="10">
        <v>9.5065073435284999E-3</v>
      </c>
      <c r="O117" s="10">
        <v>1.3648338391679864</v>
      </c>
      <c r="P117" s="10">
        <v>0.18446406063353926</v>
      </c>
      <c r="Q117" s="10">
        <v>-6.604215461282625E-3</v>
      </c>
      <c r="R117" s="10">
        <v>3.2553821290775942E-2</v>
      </c>
      <c r="S117" s="10">
        <v>-6.604215461282625E-3</v>
      </c>
      <c r="T117" s="10">
        <v>3.2553821290775942E-2</v>
      </c>
    </row>
    <row r="118" spans="1:20" ht="15" thickBot="1" x14ac:dyDescent="0.35">
      <c r="L118" s="11" t="s">
        <v>155</v>
      </c>
      <c r="M118" s="11">
        <v>6.9077733527228213E-3</v>
      </c>
      <c r="N118" s="11">
        <v>4.8322100037081844E-2</v>
      </c>
      <c r="O118" s="11">
        <v>0.14295267274025492</v>
      </c>
      <c r="P118" s="11">
        <v>0.88747351039200939</v>
      </c>
      <c r="Q118" s="11">
        <v>-9.2613454623648797E-2</v>
      </c>
      <c r="R118" s="11">
        <v>0.10642900132909443</v>
      </c>
      <c r="S118" s="11">
        <v>-9.2613454623648797E-2</v>
      </c>
      <c r="T118" s="11">
        <v>0.10642900132909443</v>
      </c>
    </row>
    <row r="121" spans="1:20" x14ac:dyDescent="0.3">
      <c r="A121" t="s">
        <v>123</v>
      </c>
      <c r="I121">
        <f>((C111-N111)/(M110-B110))/(N111/(B112+1-(M110+1)))</f>
        <v>2.0435466643570644E-2</v>
      </c>
      <c r="K121" t="s">
        <v>292</v>
      </c>
    </row>
    <row r="122" spans="1:20" x14ac:dyDescent="0.3">
      <c r="A122" t="s">
        <v>124</v>
      </c>
      <c r="I122">
        <f>_xlfn.F.DIST.RT(I121,B111-M111,M111)</f>
        <v>0.88747351039204159</v>
      </c>
    </row>
    <row r="123" spans="1:20" x14ac:dyDescent="0.3">
      <c r="A123" t="s">
        <v>125</v>
      </c>
    </row>
    <row r="124" spans="1:20" x14ac:dyDescent="0.3">
      <c r="A124" t="s">
        <v>307</v>
      </c>
    </row>
    <row r="127" spans="1:20" x14ac:dyDescent="0.3">
      <c r="A127" t="s">
        <v>127</v>
      </c>
      <c r="L127" t="s">
        <v>149</v>
      </c>
    </row>
    <row r="128" spans="1:20" x14ac:dyDescent="0.3">
      <c r="A128" t="s">
        <v>70</v>
      </c>
      <c r="L128" t="s">
        <v>70</v>
      </c>
    </row>
    <row r="129" spans="1:20" ht="15" thickBot="1" x14ac:dyDescent="0.35"/>
    <row r="130" spans="1:20" x14ac:dyDescent="0.3">
      <c r="A130" s="13" t="s">
        <v>71</v>
      </c>
      <c r="B130" s="13"/>
      <c r="L130" s="13" t="s">
        <v>71</v>
      </c>
      <c r="M130" s="13"/>
    </row>
    <row r="131" spans="1:20" x14ac:dyDescent="0.3">
      <c r="A131" s="10" t="s">
        <v>72</v>
      </c>
      <c r="B131" s="10">
        <v>0.96648170636654795</v>
      </c>
      <c r="L131" s="10" t="s">
        <v>72</v>
      </c>
      <c r="M131" s="10">
        <v>0.96962068298319337</v>
      </c>
    </row>
    <row r="132" spans="1:20" x14ac:dyDescent="0.3">
      <c r="A132" s="10" t="s">
        <v>73</v>
      </c>
      <c r="B132" s="10">
        <v>0.93408688874119417</v>
      </c>
      <c r="L132" s="10" t="s">
        <v>73</v>
      </c>
      <c r="M132" s="10">
        <v>0.94016426886879445</v>
      </c>
    </row>
    <row r="133" spans="1:20" x14ac:dyDescent="0.3">
      <c r="A133" s="10" t="s">
        <v>74</v>
      </c>
      <c r="B133" s="10">
        <v>0.9316456623982754</v>
      </c>
      <c r="L133" s="10" t="s">
        <v>74</v>
      </c>
      <c r="M133" s="10">
        <v>0.9355615203202402</v>
      </c>
    </row>
    <row r="134" spans="1:20" x14ac:dyDescent="0.3">
      <c r="A134" s="10" t="s">
        <v>69</v>
      </c>
      <c r="B134" s="10">
        <v>0.592021647834444</v>
      </c>
      <c r="L134" s="10" t="s">
        <v>69</v>
      </c>
      <c r="M134" s="10">
        <v>0.57481380601335752</v>
      </c>
    </row>
    <row r="135" spans="1:20" ht="15" thickBot="1" x14ac:dyDescent="0.35">
      <c r="A135" s="11" t="s">
        <v>75</v>
      </c>
      <c r="B135" s="11">
        <v>29</v>
      </c>
      <c r="L135" s="11" t="s">
        <v>75</v>
      </c>
      <c r="M135" s="11">
        <v>29</v>
      </c>
    </row>
    <row r="137" spans="1:20" ht="15" thickBot="1" x14ac:dyDescent="0.35">
      <c r="A137" t="s">
        <v>76</v>
      </c>
      <c r="L137" t="s">
        <v>76</v>
      </c>
    </row>
    <row r="138" spans="1:20" x14ac:dyDescent="0.3">
      <c r="A138" s="12"/>
      <c r="B138" s="12" t="s">
        <v>81</v>
      </c>
      <c r="C138" s="12" t="s">
        <v>82</v>
      </c>
      <c r="D138" s="12" t="s">
        <v>83</v>
      </c>
      <c r="E138" s="12" t="s">
        <v>84</v>
      </c>
      <c r="F138" s="12" t="s">
        <v>85</v>
      </c>
      <c r="L138" s="12"/>
      <c r="M138" s="12" t="s">
        <v>81</v>
      </c>
      <c r="N138" s="12" t="s">
        <v>82</v>
      </c>
      <c r="O138" s="12" t="s">
        <v>83</v>
      </c>
      <c r="P138" s="12" t="s">
        <v>84</v>
      </c>
      <c r="Q138" s="12" t="s">
        <v>85</v>
      </c>
    </row>
    <row r="139" spans="1:20" x14ac:dyDescent="0.3">
      <c r="A139" s="10" t="s">
        <v>77</v>
      </c>
      <c r="B139" s="10">
        <v>1</v>
      </c>
      <c r="C139" s="10">
        <v>134.10791276189639</v>
      </c>
      <c r="D139" s="10">
        <v>134.10791276189639</v>
      </c>
      <c r="E139" s="10">
        <v>382.63018562399981</v>
      </c>
      <c r="F139" s="10">
        <v>1.7869516323468365E-17</v>
      </c>
      <c r="L139" s="10" t="s">
        <v>77</v>
      </c>
      <c r="M139" s="10">
        <v>2</v>
      </c>
      <c r="N139" s="10">
        <v>134.98044911134826</v>
      </c>
      <c r="O139" s="10">
        <v>67.490224555674132</v>
      </c>
      <c r="P139" s="10">
        <v>204.26148831530244</v>
      </c>
      <c r="Q139" s="10">
        <v>1.2603403091109247E-16</v>
      </c>
    </row>
    <row r="140" spans="1:20" x14ac:dyDescent="0.3">
      <c r="A140" s="10" t="s">
        <v>78</v>
      </c>
      <c r="B140" s="10">
        <v>27</v>
      </c>
      <c r="C140" s="10">
        <v>9.4632200506244821</v>
      </c>
      <c r="D140" s="10">
        <v>0.35048963150461043</v>
      </c>
      <c r="E140" s="10"/>
      <c r="F140" s="10"/>
      <c r="L140" s="10" t="s">
        <v>78</v>
      </c>
      <c r="M140" s="10">
        <v>26</v>
      </c>
      <c r="N140" s="10">
        <v>8.5906837011726065</v>
      </c>
      <c r="O140" s="10">
        <v>0.33041091158356178</v>
      </c>
      <c r="P140" s="10"/>
      <c r="Q140" s="10"/>
    </row>
    <row r="141" spans="1:20" ht="15" thickBot="1" x14ac:dyDescent="0.35">
      <c r="A141" s="11" t="s">
        <v>79</v>
      </c>
      <c r="B141" s="11">
        <v>28</v>
      </c>
      <c r="C141" s="11">
        <v>143.57113281252086</v>
      </c>
      <c r="D141" s="11"/>
      <c r="E141" s="11"/>
      <c r="F141" s="11"/>
      <c r="L141" s="11" t="s">
        <v>79</v>
      </c>
      <c r="M141" s="11">
        <v>28</v>
      </c>
      <c r="N141" s="11">
        <v>143.57113281252086</v>
      </c>
      <c r="O141" s="11"/>
      <c r="P141" s="11"/>
      <c r="Q141" s="11"/>
    </row>
    <row r="142" spans="1:20" ht="15" thickBot="1" x14ac:dyDescent="0.35"/>
    <row r="143" spans="1:20" x14ac:dyDescent="0.3">
      <c r="A143" s="12"/>
      <c r="B143" s="12" t="s">
        <v>86</v>
      </c>
      <c r="C143" s="12" t="s">
        <v>69</v>
      </c>
      <c r="D143" s="12" t="s">
        <v>87</v>
      </c>
      <c r="E143" s="12" t="s">
        <v>88</v>
      </c>
      <c r="F143" s="12" t="s">
        <v>89</v>
      </c>
      <c r="G143" s="12" t="s">
        <v>90</v>
      </c>
      <c r="H143" s="12" t="s">
        <v>91</v>
      </c>
      <c r="I143" s="12" t="s">
        <v>92</v>
      </c>
      <c r="L143" s="12"/>
      <c r="M143" s="12" t="s">
        <v>86</v>
      </c>
      <c r="N143" s="12" t="s">
        <v>69</v>
      </c>
      <c r="O143" s="12" t="s">
        <v>87</v>
      </c>
      <c r="P143" s="12" t="s">
        <v>88</v>
      </c>
      <c r="Q143" s="12" t="s">
        <v>89</v>
      </c>
      <c r="R143" s="12" t="s">
        <v>90</v>
      </c>
      <c r="S143" s="12" t="s">
        <v>91</v>
      </c>
      <c r="T143" s="12" t="s">
        <v>92</v>
      </c>
    </row>
    <row r="144" spans="1:20" x14ac:dyDescent="0.3">
      <c r="A144" s="10" t="s">
        <v>80</v>
      </c>
      <c r="B144" s="10">
        <v>2.7197950153892587</v>
      </c>
      <c r="C144" s="10">
        <v>0.22658644475889736</v>
      </c>
      <c r="D144" s="10">
        <v>12.003343881772349</v>
      </c>
      <c r="E144" s="10">
        <v>2.4659365316351581E-12</v>
      </c>
      <c r="F144" s="10">
        <v>2.2548780334121785</v>
      </c>
      <c r="G144" s="10">
        <v>3.1847119973663389</v>
      </c>
      <c r="H144" s="10">
        <v>2.2548780334121785</v>
      </c>
      <c r="I144" s="10">
        <v>3.1847119973663389</v>
      </c>
      <c r="L144" s="10" t="s">
        <v>80</v>
      </c>
      <c r="M144" s="10">
        <v>2.4689587004020899</v>
      </c>
      <c r="N144" s="10">
        <v>0.26874935997669641</v>
      </c>
      <c r="O144" s="10">
        <v>9.1868449495700251</v>
      </c>
      <c r="P144" s="10">
        <v>1.2024915409191462E-9</v>
      </c>
      <c r="Q144" s="10">
        <v>1.9165364793535598</v>
      </c>
      <c r="R144" s="10">
        <v>3.02138092145062</v>
      </c>
      <c r="S144" s="10">
        <v>1.9165364793535598</v>
      </c>
      <c r="T144" s="10">
        <v>3.02138092145062</v>
      </c>
    </row>
    <row r="145" spans="1:20" ht="15" thickBot="1" x14ac:dyDescent="0.35">
      <c r="A145" s="11" t="s">
        <v>49</v>
      </c>
      <c r="B145" s="11">
        <v>17.408163693354908</v>
      </c>
      <c r="C145" s="11">
        <v>0.88994536925829093</v>
      </c>
      <c r="D145" s="11">
        <v>19.560935192980924</v>
      </c>
      <c r="E145" s="11">
        <v>1.7869516323468495E-17</v>
      </c>
      <c r="F145" s="11">
        <v>15.582146626710429</v>
      </c>
      <c r="G145" s="11">
        <v>19.234180759999386</v>
      </c>
      <c r="H145" s="11">
        <v>15.582146626710429</v>
      </c>
      <c r="I145" s="11">
        <v>19.234180759999386</v>
      </c>
      <c r="L145" s="10" t="s">
        <v>49</v>
      </c>
      <c r="M145" s="10">
        <v>17.32411730239745</v>
      </c>
      <c r="N145" s="10">
        <v>0.865624461857324</v>
      </c>
      <c r="O145" s="10">
        <v>20.013433152323376</v>
      </c>
      <c r="P145" s="10">
        <v>2.5594320167357305E-17</v>
      </c>
      <c r="Q145" s="10">
        <v>15.544800738240326</v>
      </c>
      <c r="R145" s="10">
        <v>19.103433866554575</v>
      </c>
      <c r="S145" s="10">
        <v>15.544800738240326</v>
      </c>
      <c r="T145" s="10">
        <v>19.103433866554575</v>
      </c>
    </row>
    <row r="146" spans="1:20" ht="15" thickBot="1" x14ac:dyDescent="0.35">
      <c r="L146" s="11" t="s">
        <v>154</v>
      </c>
      <c r="M146" s="11">
        <v>5.4833215861603488E-2</v>
      </c>
      <c r="N146" s="11">
        <v>3.3742646604531523E-2</v>
      </c>
      <c r="O146" s="11">
        <v>1.6250419388928303</v>
      </c>
      <c r="P146" s="11">
        <v>0.11621598570127467</v>
      </c>
      <c r="Q146" s="11">
        <v>-1.4525787571734047E-2</v>
      </c>
      <c r="R146" s="11">
        <v>0.12419221929494102</v>
      </c>
      <c r="S146" s="11">
        <v>-1.4525787571734047E-2</v>
      </c>
      <c r="T146" s="11">
        <v>0.12419221929494102</v>
      </c>
    </row>
    <row r="150" spans="1:20" x14ac:dyDescent="0.3">
      <c r="A150" t="s">
        <v>123</v>
      </c>
      <c r="I150">
        <f>((C140-N140)/(M139-B139))/(N140/(B141+1-(M139+1)))</f>
        <v>2.6407613031605615</v>
      </c>
      <c r="K150" t="s">
        <v>292</v>
      </c>
    </row>
    <row r="151" spans="1:20" x14ac:dyDescent="0.3">
      <c r="A151" t="s">
        <v>124</v>
      </c>
      <c r="I151">
        <f>_xlfn.F.DIST.RT(I150,B140-M140,M140)</f>
        <v>0.11621598570127543</v>
      </c>
    </row>
    <row r="152" spans="1:20" x14ac:dyDescent="0.3">
      <c r="A152" t="s">
        <v>125</v>
      </c>
    </row>
    <row r="153" spans="1:20" x14ac:dyDescent="0.3">
      <c r="A153" t="s">
        <v>307</v>
      </c>
    </row>
    <row r="155" spans="1:20" x14ac:dyDescent="0.3">
      <c r="A155" s="7"/>
      <c r="B155" s="7"/>
      <c r="C155" s="7"/>
      <c r="D155" s="7"/>
      <c r="E155" s="7"/>
      <c r="F155" s="7"/>
      <c r="G155" s="7"/>
      <c r="H155" s="7"/>
      <c r="I155" s="7"/>
      <c r="J155" s="7"/>
    </row>
    <row r="156" spans="1:20" x14ac:dyDescent="0.3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spans="1:20" x14ac:dyDescent="0.3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spans="1:20" x14ac:dyDescent="0.3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spans="1:20" x14ac:dyDescent="0.3">
      <c r="A159" s="7"/>
      <c r="B159" s="7"/>
      <c r="C159" s="7"/>
      <c r="D159" s="7"/>
      <c r="E159" s="7"/>
      <c r="F159" s="7"/>
      <c r="G159" s="7"/>
      <c r="H159" s="7"/>
      <c r="I159" s="7"/>
      <c r="J159" s="7"/>
    </row>
    <row r="160" spans="1:20" x14ac:dyDescent="0.3">
      <c r="A160" s="24"/>
      <c r="B160" s="24"/>
      <c r="C160" s="7"/>
      <c r="D160" s="7"/>
      <c r="E160" s="7"/>
      <c r="F160" s="7"/>
      <c r="G160" s="7"/>
      <c r="H160" s="7"/>
      <c r="I160" s="7"/>
      <c r="J160" s="7"/>
    </row>
    <row r="161" spans="1:10" x14ac:dyDescent="0.3">
      <c r="A161" s="10"/>
      <c r="B161" s="10"/>
      <c r="C161" s="7"/>
      <c r="D161" s="7"/>
      <c r="E161" s="7"/>
      <c r="F161" s="7"/>
      <c r="G161" s="7"/>
      <c r="H161" s="7"/>
      <c r="I161" s="7"/>
      <c r="J161" s="7"/>
    </row>
    <row r="162" spans="1:10" x14ac:dyDescent="0.3">
      <c r="A162" s="10"/>
      <c r="B162" s="10"/>
      <c r="C162" s="7"/>
      <c r="D162" s="7"/>
      <c r="E162" s="7"/>
      <c r="F162" s="7"/>
      <c r="G162" s="7"/>
      <c r="H162" s="7"/>
      <c r="I162" s="7"/>
      <c r="J162" s="7"/>
    </row>
    <row r="163" spans="1:10" x14ac:dyDescent="0.3">
      <c r="A163" s="10"/>
      <c r="B163" s="10"/>
      <c r="C163" s="7"/>
      <c r="D163" s="7"/>
      <c r="E163" s="7"/>
      <c r="F163" s="7"/>
      <c r="G163" s="7"/>
      <c r="H163" s="7"/>
      <c r="I163" s="7"/>
      <c r="J163" s="7"/>
    </row>
    <row r="164" spans="1:10" x14ac:dyDescent="0.3">
      <c r="A164" s="10"/>
      <c r="B164" s="10"/>
      <c r="C164" s="7"/>
      <c r="D164" s="7"/>
      <c r="E164" s="7"/>
      <c r="F164" s="7"/>
      <c r="G164" s="7"/>
      <c r="H164" s="7"/>
      <c r="I164" s="7"/>
      <c r="J164" s="7"/>
    </row>
    <row r="165" spans="1:10" x14ac:dyDescent="0.3">
      <c r="A165" s="10"/>
      <c r="B165" s="10"/>
      <c r="C165" s="7"/>
      <c r="D165" s="7"/>
      <c r="E165" s="7"/>
      <c r="F165" s="7"/>
      <c r="G165" s="7"/>
      <c r="H165" s="7"/>
      <c r="I165" s="7"/>
      <c r="J165" s="7"/>
    </row>
    <row r="166" spans="1:10" x14ac:dyDescent="0.3">
      <c r="A166" s="7"/>
      <c r="B166" s="7"/>
      <c r="C166" s="7"/>
      <c r="D166" s="7"/>
      <c r="E166" s="7"/>
      <c r="F166" s="7"/>
      <c r="G166" s="7"/>
      <c r="H166" s="7"/>
      <c r="I166" s="7"/>
      <c r="J166" s="7"/>
    </row>
    <row r="167" spans="1:10" x14ac:dyDescent="0.3">
      <c r="A167" s="7"/>
      <c r="B167" s="7"/>
      <c r="C167" s="7"/>
      <c r="D167" s="7"/>
      <c r="E167" s="7"/>
      <c r="F167" s="7"/>
      <c r="G167" s="7"/>
      <c r="H167" s="7"/>
      <c r="I167" s="7"/>
      <c r="J167" s="7"/>
    </row>
    <row r="168" spans="1:10" x14ac:dyDescent="0.3">
      <c r="A168" s="25"/>
      <c r="B168" s="25"/>
      <c r="C168" s="25"/>
      <c r="D168" s="25"/>
      <c r="E168" s="25"/>
      <c r="F168" s="25"/>
      <c r="G168" s="7"/>
      <c r="H168" s="7"/>
      <c r="I168" s="7"/>
      <c r="J168" s="7"/>
    </row>
    <row r="169" spans="1:10" x14ac:dyDescent="0.3">
      <c r="A169" s="10"/>
      <c r="B169" s="10"/>
      <c r="C169" s="10"/>
      <c r="D169" s="10"/>
      <c r="E169" s="10"/>
      <c r="F169" s="10"/>
      <c r="G169" s="7"/>
      <c r="H169" s="7"/>
      <c r="I169" s="7"/>
      <c r="J169" s="7"/>
    </row>
    <row r="170" spans="1:10" x14ac:dyDescent="0.3">
      <c r="A170" s="10"/>
      <c r="B170" s="10"/>
      <c r="C170" s="10"/>
      <c r="D170" s="10"/>
      <c r="E170" s="10"/>
      <c r="F170" s="10"/>
      <c r="G170" s="7"/>
      <c r="H170" s="7"/>
      <c r="I170" s="7"/>
      <c r="J170" s="7"/>
    </row>
    <row r="171" spans="1:10" x14ac:dyDescent="0.3">
      <c r="A171" s="10"/>
      <c r="B171" s="10"/>
      <c r="C171" s="10"/>
      <c r="D171" s="10"/>
      <c r="E171" s="10"/>
      <c r="F171" s="10"/>
      <c r="G171" s="7"/>
      <c r="H171" s="7"/>
      <c r="I171" s="7"/>
      <c r="J171" s="7"/>
    </row>
    <row r="172" spans="1:10" x14ac:dyDescent="0.3">
      <c r="A172" s="7"/>
      <c r="B172" s="7"/>
      <c r="C172" s="7"/>
      <c r="D172" s="7"/>
      <c r="E172" s="7"/>
      <c r="F172" s="7"/>
      <c r="G172" s="7"/>
      <c r="H172" s="7"/>
      <c r="I172" s="7"/>
      <c r="J172" s="7"/>
    </row>
    <row r="173" spans="1:10" x14ac:dyDescent="0.3">
      <c r="A173" s="25"/>
      <c r="B173" s="25"/>
      <c r="C173" s="25"/>
      <c r="D173" s="25"/>
      <c r="E173" s="25"/>
      <c r="F173" s="25"/>
      <c r="G173" s="25"/>
      <c r="H173" s="25"/>
      <c r="I173" s="25"/>
      <c r="J173" s="7"/>
    </row>
    <row r="174" spans="1:10" x14ac:dyDescent="0.3">
      <c r="A174" s="10"/>
      <c r="B174" s="10"/>
      <c r="C174" s="10"/>
      <c r="D174" s="10"/>
      <c r="E174" s="10"/>
      <c r="F174" s="10"/>
      <c r="G174" s="10"/>
      <c r="H174" s="10"/>
      <c r="I174" s="10"/>
      <c r="J174" s="7"/>
    </row>
    <row r="175" spans="1:10" x14ac:dyDescent="0.3">
      <c r="A175" s="10"/>
      <c r="B175" s="10"/>
      <c r="C175" s="10"/>
      <c r="D175" s="10"/>
      <c r="E175" s="10"/>
      <c r="F175" s="10"/>
      <c r="G175" s="10"/>
      <c r="H175" s="10"/>
      <c r="I175" s="10"/>
      <c r="J175" s="7"/>
    </row>
    <row r="176" spans="1:10" x14ac:dyDescent="0.3">
      <c r="A176" s="10"/>
      <c r="B176" s="10"/>
      <c r="C176" s="10"/>
      <c r="D176" s="10"/>
      <c r="E176" s="10"/>
      <c r="F176" s="10"/>
      <c r="G176" s="10"/>
      <c r="H176" s="10"/>
      <c r="I176" s="10"/>
      <c r="J176" s="7"/>
    </row>
    <row r="177" spans="1:10" x14ac:dyDescent="0.3">
      <c r="A177" s="10"/>
      <c r="B177" s="10"/>
      <c r="C177" s="10"/>
      <c r="D177" s="10"/>
      <c r="E177" s="10"/>
      <c r="F177" s="10"/>
      <c r="G177" s="10"/>
      <c r="H177" s="10"/>
      <c r="I177" s="10"/>
      <c r="J177" s="7"/>
    </row>
    <row r="178" spans="1:10" x14ac:dyDescent="0.3">
      <c r="A178" s="7"/>
      <c r="B178" s="7"/>
      <c r="C178" s="7"/>
      <c r="D178" s="7"/>
      <c r="E178" s="7"/>
      <c r="F178" s="7"/>
      <c r="G178" s="7"/>
      <c r="H178" s="7"/>
      <c r="I178" s="7"/>
      <c r="J178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Table of contents</vt:lpstr>
      <vt:lpstr>Aiba 1968</vt:lpstr>
      <vt:lpstr>Bazua 1975</vt:lpstr>
      <vt:lpstr>Fieschko 1983</vt:lpstr>
      <vt:lpstr>Ghose 1979</vt:lpstr>
      <vt:lpstr>Groot 1992</vt:lpstr>
      <vt:lpstr>Jobses 1986</vt:lpstr>
      <vt:lpstr>Lee 1980</vt:lpstr>
      <vt:lpstr>Schmidt 1987</vt:lpstr>
      <vt:lpstr>Figure 1</vt:lpstr>
      <vt:lpstr>Figure 2</vt:lpstr>
      <vt:lpstr>Figure 3</vt:lpstr>
      <vt:lpstr>Figure 4</vt:lpstr>
      <vt:lpstr>c_x0</vt:lpstr>
      <vt:lpstr>cx0</vt:lpstr>
      <vt:lpstr>Ks</vt:lpstr>
      <vt:lpstr>mumax0</vt:lpstr>
      <vt:lpstr>qpmax0</vt:lpstr>
      <vt:lpstr>qsmax0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 Straathof</dc:creator>
  <cp:lastModifiedBy>Adrie Straathof</cp:lastModifiedBy>
  <dcterms:created xsi:type="dcterms:W3CDTF">2020-12-16T22:29:13Z</dcterms:created>
  <dcterms:modified xsi:type="dcterms:W3CDTF">2022-12-11T08:55:44Z</dcterms:modified>
</cp:coreProperties>
</file>